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nos-my.sharepoint.com/personal/n5151_eon_com/Documents/Desktop/2026/##_8720_Reluare Lot 2 Neamt_Modernizare statii et 4/8720_final/puscasu _26.03.2026/"/>
    </mc:Choice>
  </mc:AlternateContent>
  <xr:revisionPtr revIDLastSave="1890" documentId="13_ncr:1_{BA72539E-A4D6-407C-881D-89E3E712E80E}" xr6:coauthVersionLast="47" xr6:coauthVersionMax="47" xr10:uidLastSave="{6B96694C-4565-494F-80C7-0C40A1C2C2C0}"/>
  <bookViews>
    <workbookView xWindow="-108" yWindow="-108" windowWidth="23256" windowHeight="12456" tabRatio="930" activeTab="20" xr2:uid="{00000000-000D-0000-FFFF-FFFF00000000}"/>
  </bookViews>
  <sheets>
    <sheet name="DG" sheetId="1" r:id="rId1"/>
    <sheet name="DG (2)" sheetId="291" r:id="rId2"/>
    <sheet name="DG Bel" sheetId="286" state="hidden" r:id="rId3"/>
    <sheet name="DG Tab" sheetId="287" state="hidden" r:id="rId4"/>
    <sheet name="DG Trif" sheetId="288" state="hidden" r:id="rId5"/>
    <sheet name="DG IMR" sheetId="285" r:id="rId6"/>
    <sheet name="DG PAL" sheetId="284" r:id="rId7"/>
    <sheet name="DG PNG" sheetId="293" r:id="rId8"/>
    <sheet name="DG RV" sheetId="290" r:id="rId9"/>
    <sheet name="DG Del" sheetId="295" state="hidden" r:id="rId10"/>
    <sheet name="DG Iac" sheetId="289" state="hidden" r:id="rId11"/>
    <sheet name="DG Rad" sheetId="298" state="hidden" r:id="rId12"/>
    <sheet name="DG Tar" sheetId="299" state="hidden" r:id="rId13"/>
    <sheet name="DG Mir" sheetId="301" state="hidden" r:id="rId14"/>
    <sheet name="(1)F1 Bel" sheetId="276" state="hidden" r:id="rId15"/>
    <sheet name="(2)F1 Tab" sheetId="277" state="hidden" r:id="rId16"/>
    <sheet name="(3)F1 Trif" sheetId="278" state="hidden" r:id="rId17"/>
    <sheet name="(4)F1 IMR" sheetId="279" r:id="rId18"/>
    <sheet name="(5)F1 PAL" sheetId="292" r:id="rId19"/>
    <sheet name="(6)F1 PNG" sheetId="280" r:id="rId20"/>
    <sheet name="(7)F1 RV" sheetId="282" r:id="rId21"/>
    <sheet name="(8)F1 Del" sheetId="294" state="hidden" r:id="rId22"/>
    <sheet name="(9)F1 Iac" sheetId="281" state="hidden" r:id="rId23"/>
    <sheet name="(10)F1 Rad" sheetId="296" state="hidden" r:id="rId24"/>
    <sheet name="(11)F1 Tar" sheetId="297" state="hidden" r:id="rId25"/>
    <sheet name="(12)F1 Mir" sheetId="300" state="hidden" r:id="rId26"/>
  </sheets>
  <definedNames>
    <definedName name="_xlnm.Print_Area" localSheetId="14">'(1)F1 Bel'!$A$1:$D$44</definedName>
    <definedName name="_xlnm.Print_Area" localSheetId="23">'(10)F1 Rad'!$A$1:$D$35</definedName>
    <definedName name="_xlnm.Print_Area" localSheetId="24">'(11)F1 Tar'!$A$1:$D$55</definedName>
    <definedName name="_xlnm.Print_Area" localSheetId="25">'(12)F1 Mir'!$A$1:$D$50</definedName>
    <definedName name="_xlnm.Print_Area" localSheetId="15">'(2)F1 Tab'!$A$1:$D$33</definedName>
    <definedName name="_xlnm.Print_Area" localSheetId="16">'(3)F1 Trif'!$A$1:$D$42</definedName>
    <definedName name="_xlnm.Print_Area" localSheetId="17">'(4)F1 IMR'!$A$1:$D$46</definedName>
    <definedName name="_xlnm.Print_Area" localSheetId="18">'(5)F1 PAL'!$A$1:$D$42</definedName>
    <definedName name="_xlnm.Print_Area" localSheetId="19">'(6)F1 PNG'!$A$1:$D$45</definedName>
    <definedName name="_xlnm.Print_Area" localSheetId="20">'(7)F1 RV'!$A$1:$D$42</definedName>
    <definedName name="_xlnm.Print_Area" localSheetId="21">'(8)F1 Del'!$A$1:$D$43</definedName>
    <definedName name="_xlnm.Print_Area" localSheetId="22">'(9)F1 Iac'!$A$1:$D$41</definedName>
    <definedName name="_xlnm.Print_Area" localSheetId="0">DG!$A$1:$I$141</definedName>
    <definedName name="_xlnm.Print_Area" localSheetId="1">'DG (2)'!$A$1:$U$94</definedName>
    <definedName name="_xlnm.Print_Area" localSheetId="2">'DG Bel'!$A$1:$S$100</definedName>
    <definedName name="_xlnm.Print_Area" localSheetId="9">'DG Del'!$A$1:$T$100</definedName>
    <definedName name="_xlnm.Print_Area" localSheetId="10">'DG Iac'!$A$1:$U$100</definedName>
    <definedName name="_xlnm.Print_Area" localSheetId="5">'DG IMR'!$A$1:$T$100</definedName>
    <definedName name="_xlnm.Print_Area" localSheetId="13">'DG Mir'!$A$1:$T$100</definedName>
    <definedName name="_xlnm.Print_Area" localSheetId="6">'DG PAL'!$A$1:$V$100</definedName>
    <definedName name="_xlnm.Print_Area" localSheetId="7">'DG PNG'!$A$1:$T$100</definedName>
    <definedName name="_xlnm.Print_Area" localSheetId="11">'DG Rad'!$A$1:$U$100</definedName>
    <definedName name="_xlnm.Print_Area" localSheetId="8">'DG RV'!$A$1:$S$100</definedName>
    <definedName name="_xlnm.Print_Area" localSheetId="3">'DG Tab'!$A$1:$X$100</definedName>
    <definedName name="_xlnm.Print_Area" localSheetId="12">'DG Tar'!$A$1:$T$100</definedName>
    <definedName name="_xlnm.Print_Area" localSheetId="4">'DG Trif'!$A$1:$U$100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95" l="1"/>
  <c r="C100" i="294"/>
  <c r="C37" i="294"/>
  <c r="C39" i="280"/>
  <c r="C96" i="292"/>
  <c r="C36" i="292"/>
  <c r="C108" i="276"/>
  <c r="F150" i="1"/>
  <c r="G150" i="1"/>
  <c r="E150" i="1"/>
  <c r="Q6" i="291" l="1"/>
  <c r="J82" i="291" l="1"/>
  <c r="E82" i="291"/>
  <c r="E67" i="1" l="1"/>
  <c r="L123" i="1" l="1"/>
  <c r="L131" i="1"/>
  <c r="E50" i="1"/>
  <c r="E51" i="1"/>
  <c r="E54" i="1"/>
  <c r="E60" i="1"/>
  <c r="E70" i="1"/>
  <c r="E71" i="1"/>
  <c r="E129" i="1"/>
  <c r="P85" i="291"/>
  <c r="P82" i="291"/>
  <c r="P74" i="291"/>
  <c r="P69" i="291"/>
  <c r="P68" i="291"/>
  <c r="P67" i="291"/>
  <c r="P56" i="291"/>
  <c r="P47" i="291"/>
  <c r="P46" i="291"/>
  <c r="P45" i="291" s="1"/>
  <c r="P43" i="291"/>
  <c r="P36" i="291"/>
  <c r="P33" i="291"/>
  <c r="P32" i="291"/>
  <c r="P30" i="291"/>
  <c r="P27" i="291"/>
  <c r="P26" i="291"/>
  <c r="P21" i="291"/>
  <c r="P22" i="291" s="1"/>
  <c r="P18" i="291"/>
  <c r="O85" i="291"/>
  <c r="O82" i="291"/>
  <c r="O74" i="291"/>
  <c r="O69" i="291"/>
  <c r="O68" i="291"/>
  <c r="O67" i="291"/>
  <c r="O56" i="291"/>
  <c r="O47" i="291"/>
  <c r="O46" i="291"/>
  <c r="O43" i="291"/>
  <c r="O36" i="291"/>
  <c r="O33" i="291"/>
  <c r="O32" i="291"/>
  <c r="O30" i="291"/>
  <c r="O27" i="291"/>
  <c r="O26" i="291"/>
  <c r="O21" i="291"/>
  <c r="O22" i="291" s="1"/>
  <c r="O18" i="291"/>
  <c r="N85" i="291"/>
  <c r="N82" i="291"/>
  <c r="N74" i="291"/>
  <c r="N69" i="291"/>
  <c r="N68" i="291"/>
  <c r="N67" i="291"/>
  <c r="N47" i="291"/>
  <c r="N46" i="291"/>
  <c r="N43" i="291"/>
  <c r="N36" i="291"/>
  <c r="N33" i="291"/>
  <c r="N32" i="291"/>
  <c r="N30" i="291"/>
  <c r="N27" i="291"/>
  <c r="N26" i="291"/>
  <c r="M21" i="291"/>
  <c r="M22" i="291" s="1"/>
  <c r="N21" i="291"/>
  <c r="N22" i="291" s="1"/>
  <c r="N18" i="291"/>
  <c r="M85" i="291"/>
  <c r="M82" i="291"/>
  <c r="M74" i="291"/>
  <c r="M69" i="291"/>
  <c r="M68" i="291"/>
  <c r="M67" i="291"/>
  <c r="M47" i="291"/>
  <c r="M46" i="291"/>
  <c r="M43" i="291"/>
  <c r="M36" i="291"/>
  <c r="M33" i="291"/>
  <c r="M32" i="291"/>
  <c r="M30" i="291"/>
  <c r="M27" i="291"/>
  <c r="M26" i="291"/>
  <c r="M18" i="291"/>
  <c r="L74" i="291"/>
  <c r="L82" i="291"/>
  <c r="K82" i="291"/>
  <c r="L85" i="291"/>
  <c r="L69" i="291"/>
  <c r="L68" i="291"/>
  <c r="L67" i="291"/>
  <c r="L47" i="291"/>
  <c r="L46" i="291"/>
  <c r="L43" i="291"/>
  <c r="L36" i="291"/>
  <c r="L33" i="291"/>
  <c r="L32" i="291"/>
  <c r="L30" i="291"/>
  <c r="L27" i="291"/>
  <c r="L26" i="291"/>
  <c r="L18" i="291"/>
  <c r="L21" i="291"/>
  <c r="L22" i="291" s="1"/>
  <c r="J85" i="291"/>
  <c r="K85" i="291"/>
  <c r="K74" i="291"/>
  <c r="K69" i="291"/>
  <c r="K68" i="291"/>
  <c r="K67" i="291"/>
  <c r="K47" i="291"/>
  <c r="K46" i="291"/>
  <c r="K43" i="291"/>
  <c r="K36" i="291"/>
  <c r="K33" i="291"/>
  <c r="K32" i="291"/>
  <c r="K30" i="291"/>
  <c r="K27" i="291"/>
  <c r="K26" i="291"/>
  <c r="K21" i="291"/>
  <c r="K22" i="291" s="1"/>
  <c r="K18" i="291"/>
  <c r="J27" i="291"/>
  <c r="J26" i="291"/>
  <c r="J33" i="291"/>
  <c r="J32" i="291"/>
  <c r="J30" i="291"/>
  <c r="J67" i="291"/>
  <c r="J68" i="291"/>
  <c r="J69" i="291"/>
  <c r="J47" i="291"/>
  <c r="J46" i="291"/>
  <c r="J43" i="291"/>
  <c r="J36" i="291"/>
  <c r="J21" i="291"/>
  <c r="J22" i="291" s="1"/>
  <c r="Q15" i="291"/>
  <c r="H62" i="300"/>
  <c r="H61" i="300"/>
  <c r="H60" i="300"/>
  <c r="H59" i="300"/>
  <c r="C57" i="300"/>
  <c r="H20" i="300"/>
  <c r="E21" i="301" s="1"/>
  <c r="H19" i="300"/>
  <c r="E20" i="301" s="1"/>
  <c r="G20" i="301" s="1"/>
  <c r="H20" i="301" s="1"/>
  <c r="H18" i="300"/>
  <c r="E19" i="301" s="1"/>
  <c r="C15" i="300"/>
  <c r="H22" i="300" s="1"/>
  <c r="H17" i="300"/>
  <c r="H67" i="297"/>
  <c r="H66" i="297"/>
  <c r="H65" i="297"/>
  <c r="H64" i="297"/>
  <c r="H20" i="297"/>
  <c r="E21" i="299" s="1"/>
  <c r="G21" i="299" s="1"/>
  <c r="H21" i="299" s="1"/>
  <c r="H19" i="297"/>
  <c r="E20" i="299" s="1"/>
  <c r="H18" i="297"/>
  <c r="E19" i="299" s="1"/>
  <c r="H17" i="297"/>
  <c r="C15" i="297"/>
  <c r="C62" i="297"/>
  <c r="E21" i="298"/>
  <c r="H47" i="296"/>
  <c r="H46" i="296"/>
  <c r="H45" i="296"/>
  <c r="H44" i="296"/>
  <c r="C42" i="296"/>
  <c r="C15" i="296"/>
  <c r="H19" i="296"/>
  <c r="E20" i="298" s="1"/>
  <c r="G20" i="298" s="1"/>
  <c r="H20" i="298" s="1"/>
  <c r="H18" i="296"/>
  <c r="E19" i="298" s="1"/>
  <c r="G19" i="298" s="1"/>
  <c r="H19" i="298" s="1"/>
  <c r="H17" i="296"/>
  <c r="G21" i="289"/>
  <c r="H21" i="289" s="1"/>
  <c r="E21" i="289"/>
  <c r="H52" i="281"/>
  <c r="H51" i="281"/>
  <c r="H50" i="281"/>
  <c r="C15" i="281"/>
  <c r="H19" i="281"/>
  <c r="E20" i="289" s="1"/>
  <c r="H18" i="281"/>
  <c r="E19" i="289" s="1"/>
  <c r="G19" i="289" s="1"/>
  <c r="H19" i="289" s="1"/>
  <c r="H17" i="281"/>
  <c r="C48" i="281"/>
  <c r="H56" i="294"/>
  <c r="H55" i="294"/>
  <c r="H54" i="294"/>
  <c r="H53" i="294"/>
  <c r="H52" i="294"/>
  <c r="E21" i="295"/>
  <c r="C15" i="294"/>
  <c r="H19" i="294"/>
  <c r="E20" i="295" s="1"/>
  <c r="H18" i="294"/>
  <c r="E19" i="295" s="1"/>
  <c r="H17" i="294"/>
  <c r="C50" i="294"/>
  <c r="H54" i="282"/>
  <c r="H53" i="282"/>
  <c r="H52" i="282"/>
  <c r="H51" i="282"/>
  <c r="C15" i="282"/>
  <c r="H20" i="282"/>
  <c r="E21" i="290" s="1"/>
  <c r="G21" i="290" s="1"/>
  <c r="H19" i="282"/>
  <c r="E20" i="290" s="1"/>
  <c r="H18" i="282"/>
  <c r="E19" i="290" s="1"/>
  <c r="H17" i="282"/>
  <c r="C49" i="282"/>
  <c r="H57" i="280"/>
  <c r="H56" i="280"/>
  <c r="H55" i="280"/>
  <c r="H54" i="280"/>
  <c r="E19" i="293"/>
  <c r="H19" i="280"/>
  <c r="E20" i="293" s="1"/>
  <c r="H17" i="280"/>
  <c r="C15" i="280"/>
  <c r="H20" i="280"/>
  <c r="E21" i="293" s="1"/>
  <c r="H18" i="280"/>
  <c r="C52" i="280"/>
  <c r="H54" i="292"/>
  <c r="H53" i="292"/>
  <c r="H52" i="292"/>
  <c r="H51" i="292"/>
  <c r="C15" i="292"/>
  <c r="H20" i="292"/>
  <c r="E21" i="284" s="1"/>
  <c r="H19" i="292"/>
  <c r="E20" i="284" s="1"/>
  <c r="G20" i="284" s="1"/>
  <c r="H20" i="284" s="1"/>
  <c r="H18" i="292"/>
  <c r="E19" i="284" s="1"/>
  <c r="G19" i="284" s="1"/>
  <c r="H19" i="284" s="1"/>
  <c r="H17" i="292"/>
  <c r="C49" i="292"/>
  <c r="H58" i="279"/>
  <c r="H57" i="279"/>
  <c r="H56" i="279"/>
  <c r="H55" i="279"/>
  <c r="C53" i="279"/>
  <c r="C15" i="278"/>
  <c r="H22" i="278" s="1"/>
  <c r="C15" i="279"/>
  <c r="H20" i="279"/>
  <c r="E21" i="285" s="1"/>
  <c r="H19" i="279"/>
  <c r="E20" i="285" s="1"/>
  <c r="H18" i="279"/>
  <c r="E19" i="285" s="1"/>
  <c r="H17" i="279"/>
  <c r="H54" i="278"/>
  <c r="H53" i="278"/>
  <c r="H52" i="278"/>
  <c r="H51" i="278"/>
  <c r="C49" i="278"/>
  <c r="H20" i="278"/>
  <c r="E21" i="288" s="1"/>
  <c r="H19" i="278"/>
  <c r="E20" i="288" s="1"/>
  <c r="H18" i="278"/>
  <c r="E19" i="288" s="1"/>
  <c r="H17" i="278"/>
  <c r="H18" i="276"/>
  <c r="H17" i="277"/>
  <c r="E19" i="287" s="1"/>
  <c r="H18" i="277"/>
  <c r="E20" i="287" s="1"/>
  <c r="G20" i="287" s="1"/>
  <c r="H45" i="277"/>
  <c r="H44" i="277"/>
  <c r="H43" i="277"/>
  <c r="H42" i="277"/>
  <c r="H19" i="277"/>
  <c r="E21" i="287" s="1"/>
  <c r="H16" i="277"/>
  <c r="C40" i="277"/>
  <c r="D18" i="277"/>
  <c r="H56" i="276"/>
  <c r="H55" i="276"/>
  <c r="H54" i="276"/>
  <c r="H53" i="276"/>
  <c r="H20" i="276"/>
  <c r="E21" i="286" s="1"/>
  <c r="H19" i="276"/>
  <c r="E20" i="286" s="1"/>
  <c r="H17" i="276"/>
  <c r="C51" i="276"/>
  <c r="C38" i="276"/>
  <c r="D38" i="276" s="1"/>
  <c r="D24" i="276"/>
  <c r="B24" i="276"/>
  <c r="H115" i="282"/>
  <c r="H114" i="282"/>
  <c r="H113" i="282"/>
  <c r="H112" i="282"/>
  <c r="H103" i="282"/>
  <c r="H102" i="282"/>
  <c r="H101" i="282"/>
  <c r="H100" i="282"/>
  <c r="H55" i="282"/>
  <c r="H22" i="297" l="1"/>
  <c r="H22" i="281"/>
  <c r="H22" i="294"/>
  <c r="H22" i="282"/>
  <c r="H22" i="280"/>
  <c r="H22" i="292"/>
  <c r="H22" i="279"/>
  <c r="G20" i="285"/>
  <c r="H20" i="285" s="1"/>
  <c r="G20" i="288"/>
  <c r="H20" i="288" s="1"/>
  <c r="G20" i="286"/>
  <c r="H20" i="286" s="1"/>
  <c r="E19" i="286"/>
  <c r="J45" i="291"/>
  <c r="O45" i="291"/>
  <c r="K45" i="291"/>
  <c r="N45" i="291"/>
  <c r="M45" i="291"/>
  <c r="L45" i="291"/>
  <c r="G20" i="299"/>
  <c r="H20" i="299" s="1"/>
  <c r="G20" i="289"/>
  <c r="G21" i="298"/>
  <c r="G21" i="295"/>
  <c r="G20" i="295"/>
  <c r="G20" i="290"/>
  <c r="G21" i="293"/>
  <c r="G20" i="293"/>
  <c r="G21" i="284"/>
  <c r="H21" i="284" s="1"/>
  <c r="G21" i="301"/>
  <c r="H21" i="290"/>
  <c r="H20" i="287"/>
  <c r="H20" i="289" l="1"/>
  <c r="H21" i="298"/>
  <c r="H20" i="295"/>
  <c r="H21" i="295"/>
  <c r="H20" i="290"/>
  <c r="H21" i="293"/>
  <c r="H20" i="293"/>
  <c r="H21" i="301"/>
  <c r="E23" i="284"/>
  <c r="H114" i="292"/>
  <c r="E72" i="284" s="1"/>
  <c r="H113" i="292"/>
  <c r="E71" i="284" s="1"/>
  <c r="H112" i="292"/>
  <c r="E70" i="284" s="1"/>
  <c r="H111" i="292"/>
  <c r="E69" i="284" s="1"/>
  <c r="H101" i="292"/>
  <c r="E67" i="284" s="1"/>
  <c r="H100" i="292"/>
  <c r="E66" i="284" s="1"/>
  <c r="H99" i="292"/>
  <c r="E65" i="284" s="1"/>
  <c r="H98" i="292"/>
  <c r="E64" i="284" s="1"/>
  <c r="E61" i="284"/>
  <c r="E60" i="284"/>
  <c r="H55" i="292"/>
  <c r="E62" i="284" s="1"/>
  <c r="E59" i="284"/>
  <c r="E58" i="284"/>
  <c r="E18" i="284"/>
  <c r="M35" i="291"/>
  <c r="M29" i="291"/>
  <c r="A6" i="289" l="1"/>
  <c r="H116" i="281"/>
  <c r="H115" i="281"/>
  <c r="H114" i="281"/>
  <c r="H113" i="281"/>
  <c r="H101" i="281"/>
  <c r="H100" i="281"/>
  <c r="H99" i="281"/>
  <c r="H98" i="281"/>
  <c r="D109" i="281"/>
  <c r="H53" i="281"/>
  <c r="H54" i="281"/>
  <c r="D92" i="281"/>
  <c r="D93" i="281"/>
  <c r="D94" i="281"/>
  <c r="D95" i="281"/>
  <c r="H20" i="281"/>
  <c r="D26" i="281"/>
  <c r="D27" i="281"/>
  <c r="N35" i="291"/>
  <c r="N29" i="291"/>
  <c r="E23" i="298"/>
  <c r="A6" i="298"/>
  <c r="H104" i="296" l="1"/>
  <c r="E72" i="298" s="1"/>
  <c r="N66" i="291" s="1"/>
  <c r="H103" i="296"/>
  <c r="E71" i="298" s="1"/>
  <c r="N65" i="291" s="1"/>
  <c r="H102" i="296"/>
  <c r="E70" i="298" s="1"/>
  <c r="N64" i="291" s="1"/>
  <c r="H101" i="296"/>
  <c r="E69" i="298" s="1"/>
  <c r="N63" i="291" s="1"/>
  <c r="H91" i="296"/>
  <c r="E67" i="298" s="1"/>
  <c r="N61" i="291" s="1"/>
  <c r="H90" i="296"/>
  <c r="E66" i="298" s="1"/>
  <c r="N60" i="291" s="1"/>
  <c r="H89" i="296"/>
  <c r="E65" i="298" s="1"/>
  <c r="N59" i="291" s="1"/>
  <c r="H88" i="296"/>
  <c r="E64" i="298" s="1"/>
  <c r="N58" i="291" s="1"/>
  <c r="E61" i="298"/>
  <c r="N55" i="291" s="1"/>
  <c r="E60" i="298"/>
  <c r="N54" i="291" s="1"/>
  <c r="H48" i="296"/>
  <c r="E62" i="298" s="1"/>
  <c r="N56" i="291" s="1"/>
  <c r="E59" i="298"/>
  <c r="N53" i="291" s="1"/>
  <c r="E58" i="298"/>
  <c r="N52" i="291" s="1"/>
  <c r="H20" i="296"/>
  <c r="H22" i="296" s="1"/>
  <c r="E18" i="298"/>
  <c r="B43" i="296"/>
  <c r="B8" i="296"/>
  <c r="B49" i="281"/>
  <c r="B8" i="281"/>
  <c r="B50" i="282"/>
  <c r="B8" i="282"/>
  <c r="B50" i="292"/>
  <c r="B8" i="292"/>
  <c r="E59" i="301"/>
  <c r="P53" i="291" s="1"/>
  <c r="E60" i="301"/>
  <c r="E61" i="301"/>
  <c r="P55" i="291" s="1"/>
  <c r="E58" i="301"/>
  <c r="P52" i="291" s="1"/>
  <c r="H63" i="300"/>
  <c r="G101" i="300"/>
  <c r="E23" i="301"/>
  <c r="G19" i="301"/>
  <c r="E18" i="301"/>
  <c r="H107" i="300"/>
  <c r="E67" i="301" s="1"/>
  <c r="H106" i="300"/>
  <c r="E66" i="301" s="1"/>
  <c r="H105" i="300"/>
  <c r="E65" i="301" s="1"/>
  <c r="H104" i="300"/>
  <c r="E64" i="301" s="1"/>
  <c r="P58" i="291" s="1"/>
  <c r="A6" i="301"/>
  <c r="G91" i="301"/>
  <c r="H91" i="301" s="1"/>
  <c r="G88" i="301"/>
  <c r="G82" i="301"/>
  <c r="G80" i="301"/>
  <c r="H80" i="301" s="1"/>
  <c r="G75" i="301"/>
  <c r="H75" i="301" s="1"/>
  <c r="G74" i="301"/>
  <c r="H74" i="301" s="1"/>
  <c r="G73" i="301"/>
  <c r="G53" i="301"/>
  <c r="H53" i="301" s="1"/>
  <c r="G52" i="301"/>
  <c r="E51" i="301"/>
  <c r="G49" i="301"/>
  <c r="H49" i="301" s="1"/>
  <c r="G42" i="301"/>
  <c r="H42" i="301" s="1"/>
  <c r="G39" i="301"/>
  <c r="H39" i="301" s="1"/>
  <c r="G38" i="301"/>
  <c r="H38" i="301" s="1"/>
  <c r="G36" i="301"/>
  <c r="H36" i="301" s="1"/>
  <c r="G33" i="301"/>
  <c r="H32" i="301"/>
  <c r="G32" i="301"/>
  <c r="E28" i="301"/>
  <c r="G27" i="301"/>
  <c r="G28" i="301" s="1"/>
  <c r="G24" i="301"/>
  <c r="C23" i="301"/>
  <c r="G16" i="301"/>
  <c r="H16" i="301" s="1"/>
  <c r="H8" i="301"/>
  <c r="F7" i="301"/>
  <c r="F36" i="301" s="1"/>
  <c r="I36" i="301" s="1"/>
  <c r="E7" i="301"/>
  <c r="A5" i="301"/>
  <c r="H1" i="301"/>
  <c r="H120" i="300"/>
  <c r="E72" i="301" s="1"/>
  <c r="H119" i="300"/>
  <c r="E71" i="301" s="1"/>
  <c r="P65" i="291" s="1"/>
  <c r="H118" i="300"/>
  <c r="E70" i="301" s="1"/>
  <c r="P64" i="291" s="1"/>
  <c r="H117" i="300"/>
  <c r="E69" i="301" s="1"/>
  <c r="B8" i="300"/>
  <c r="B58" i="300" s="1"/>
  <c r="D115" i="300"/>
  <c r="C115" i="300"/>
  <c r="E113" i="1" s="1"/>
  <c r="D114" i="300"/>
  <c r="D113" i="300"/>
  <c r="D112" i="300"/>
  <c r="D111" i="300"/>
  <c r="D110" i="300"/>
  <c r="D109" i="300"/>
  <c r="D108" i="300"/>
  <c r="D107" i="300"/>
  <c r="D106" i="300"/>
  <c r="D105" i="300"/>
  <c r="D104" i="300"/>
  <c r="C102" i="300"/>
  <c r="E100" i="1" s="1"/>
  <c r="D101" i="300"/>
  <c r="D100" i="300"/>
  <c r="D99" i="300"/>
  <c r="D98" i="300"/>
  <c r="D97" i="300"/>
  <c r="D96" i="300"/>
  <c r="D95" i="300"/>
  <c r="D94" i="300"/>
  <c r="D93" i="300"/>
  <c r="D92" i="300"/>
  <c r="D91" i="300"/>
  <c r="D90" i="300"/>
  <c r="D89" i="300"/>
  <c r="D88" i="300"/>
  <c r="D87" i="300"/>
  <c r="D86" i="300"/>
  <c r="D85" i="300"/>
  <c r="D84" i="300"/>
  <c r="D83" i="300"/>
  <c r="D82" i="300"/>
  <c r="D81" i="300"/>
  <c r="D80" i="300"/>
  <c r="D79" i="300"/>
  <c r="D78" i="300"/>
  <c r="D77" i="300"/>
  <c r="D76" i="300"/>
  <c r="D75" i="300"/>
  <c r="D74" i="300"/>
  <c r="D73" i="300"/>
  <c r="D72" i="300"/>
  <c r="D71" i="300"/>
  <c r="D70" i="300"/>
  <c r="D69" i="300"/>
  <c r="D68" i="300"/>
  <c r="D67" i="300"/>
  <c r="D66" i="300"/>
  <c r="D65" i="300"/>
  <c r="D64" i="300"/>
  <c r="D63" i="300"/>
  <c r="D62" i="300"/>
  <c r="D61" i="300"/>
  <c r="D60" i="300"/>
  <c r="D59" i="300"/>
  <c r="D43" i="300"/>
  <c r="D42" i="300"/>
  <c r="D41" i="300"/>
  <c r="D40" i="300"/>
  <c r="D39" i="300"/>
  <c r="D38" i="300"/>
  <c r="D37" i="300"/>
  <c r="D36" i="300"/>
  <c r="D35" i="300"/>
  <c r="D34" i="300"/>
  <c r="D33" i="300"/>
  <c r="D32" i="300"/>
  <c r="D31" i="300"/>
  <c r="D49" i="300"/>
  <c r="C49" i="300"/>
  <c r="D46" i="300"/>
  <c r="C44" i="300"/>
  <c r="D44" i="300" s="1"/>
  <c r="D30" i="300"/>
  <c r="D29" i="300"/>
  <c r="D28" i="300"/>
  <c r="D27" i="300"/>
  <c r="D26" i="300"/>
  <c r="D25" i="300"/>
  <c r="D24" i="300"/>
  <c r="D23" i="300"/>
  <c r="D22" i="300"/>
  <c r="D21" i="300"/>
  <c r="D20" i="300"/>
  <c r="D19" i="300"/>
  <c r="D18" i="300"/>
  <c r="D17" i="300"/>
  <c r="E28" i="1"/>
  <c r="D14" i="300"/>
  <c r="C9" i="300"/>
  <c r="A4" i="300"/>
  <c r="D1" i="300"/>
  <c r="G35" i="301" l="1"/>
  <c r="H35" i="301" s="1"/>
  <c r="P29" i="291"/>
  <c r="G41" i="301"/>
  <c r="H41" i="301" s="1"/>
  <c r="P35" i="291"/>
  <c r="G72" i="301"/>
  <c r="P66" i="291"/>
  <c r="G69" i="301"/>
  <c r="P63" i="291"/>
  <c r="P62" i="291" s="1"/>
  <c r="G67" i="301"/>
  <c r="H67" i="301" s="1"/>
  <c r="P61" i="291"/>
  <c r="G65" i="301"/>
  <c r="H65" i="301" s="1"/>
  <c r="P59" i="291"/>
  <c r="G66" i="301"/>
  <c r="H66" i="301" s="1"/>
  <c r="P60" i="291"/>
  <c r="G60" i="301"/>
  <c r="H60" i="301" s="1"/>
  <c r="P54" i="291"/>
  <c r="P51" i="291" s="1"/>
  <c r="D57" i="300"/>
  <c r="D15" i="300"/>
  <c r="D13" i="300" s="1"/>
  <c r="N62" i="291"/>
  <c r="N103" i="291" s="1"/>
  <c r="N57" i="291"/>
  <c r="N102" i="291" s="1"/>
  <c r="N51" i="291"/>
  <c r="F16" i="301"/>
  <c r="F24" i="301"/>
  <c r="F70" i="301"/>
  <c r="F53" i="301"/>
  <c r="F20" i="301"/>
  <c r="I20" i="301" s="1"/>
  <c r="F21" i="301"/>
  <c r="I21" i="301" s="1"/>
  <c r="F38" i="301"/>
  <c r="I38" i="301" s="1"/>
  <c r="F27" i="301"/>
  <c r="F28" i="301" s="1"/>
  <c r="F61" i="301"/>
  <c r="I24" i="301"/>
  <c r="B45" i="300"/>
  <c r="B16" i="300"/>
  <c r="F41" i="301"/>
  <c r="F35" i="301"/>
  <c r="E17" i="301"/>
  <c r="H24" i="301"/>
  <c r="E22" i="301"/>
  <c r="P17" i="291" s="1"/>
  <c r="E41" i="1"/>
  <c r="C13" i="300"/>
  <c r="F64" i="301"/>
  <c r="E63" i="301"/>
  <c r="N94" i="301" s="1"/>
  <c r="H109" i="300"/>
  <c r="D102" i="300"/>
  <c r="E68" i="301"/>
  <c r="N95" i="301" s="1"/>
  <c r="F69" i="301"/>
  <c r="I69" i="301" s="1"/>
  <c r="I16" i="301"/>
  <c r="H19" i="301"/>
  <c r="H72" i="301"/>
  <c r="G61" i="301"/>
  <c r="G64" i="301"/>
  <c r="G70" i="301"/>
  <c r="F91" i="301"/>
  <c r="F23" i="301"/>
  <c r="F22" i="301" s="1"/>
  <c r="F33" i="301"/>
  <c r="I33" i="301" s="1"/>
  <c r="I53" i="301"/>
  <c r="F59" i="301"/>
  <c r="F73" i="301"/>
  <c r="I73" i="301" s="1"/>
  <c r="F82" i="301"/>
  <c r="G59" i="301"/>
  <c r="H59" i="301" s="1"/>
  <c r="F66" i="301"/>
  <c r="G51" i="301"/>
  <c r="H73" i="301"/>
  <c r="H82" i="301"/>
  <c r="F88" i="301"/>
  <c r="I88" i="301" s="1"/>
  <c r="G23" i="301"/>
  <c r="G22" i="301" s="1"/>
  <c r="H33" i="301"/>
  <c r="F18" i="301"/>
  <c r="H27" i="301"/>
  <c r="H28" i="301" s="1"/>
  <c r="F39" i="301"/>
  <c r="I39" i="301" s="1"/>
  <c r="F49" i="301"/>
  <c r="I49" i="301" s="1"/>
  <c r="F71" i="301"/>
  <c r="F80" i="301"/>
  <c r="I80" i="301" s="1"/>
  <c r="G18" i="301"/>
  <c r="G71" i="301"/>
  <c r="H71" i="301" s="1"/>
  <c r="F74" i="301"/>
  <c r="I74" i="301" s="1"/>
  <c r="H88" i="301"/>
  <c r="F42" i="301"/>
  <c r="I42" i="301" s="1"/>
  <c r="F52" i="301"/>
  <c r="F51" i="301" s="1"/>
  <c r="F60" i="301"/>
  <c r="I60" i="301" s="1"/>
  <c r="F65" i="301"/>
  <c r="I65" i="301" s="1"/>
  <c r="F67" i="301"/>
  <c r="I67" i="301" s="1"/>
  <c r="H52" i="301"/>
  <c r="H51" i="301" s="1"/>
  <c r="F58" i="301"/>
  <c r="H69" i="301"/>
  <c r="F19" i="301"/>
  <c r="I19" i="301" s="1"/>
  <c r="F32" i="301"/>
  <c r="I32" i="301" s="1"/>
  <c r="G58" i="301"/>
  <c r="F72" i="301"/>
  <c r="I72" i="301" s="1"/>
  <c r="F75" i="301"/>
  <c r="I75" i="301" s="1"/>
  <c r="H122" i="300"/>
  <c r="I35" i="301" l="1"/>
  <c r="I41" i="301"/>
  <c r="I70" i="301"/>
  <c r="P57" i="291"/>
  <c r="I66" i="301"/>
  <c r="P70" i="291"/>
  <c r="G17" i="301"/>
  <c r="H17" i="301" s="1"/>
  <c r="P16" i="291"/>
  <c r="P19" i="291" s="1"/>
  <c r="N70" i="291"/>
  <c r="I61" i="301"/>
  <c r="I27" i="301"/>
  <c r="I28" i="301" s="1"/>
  <c r="F63" i="301"/>
  <c r="G63" i="301"/>
  <c r="H63" i="301" s="1"/>
  <c r="I52" i="301"/>
  <c r="I51" i="301" s="1"/>
  <c r="I58" i="301"/>
  <c r="F17" i="301"/>
  <c r="E25" i="301"/>
  <c r="I64" i="301"/>
  <c r="I23" i="301"/>
  <c r="I22" i="301" s="1"/>
  <c r="H23" i="301"/>
  <c r="H22" i="301" s="1"/>
  <c r="G68" i="301"/>
  <c r="H68" i="301" s="1"/>
  <c r="H70" i="301"/>
  <c r="F68" i="301"/>
  <c r="I71" i="301"/>
  <c r="H64" i="301"/>
  <c r="I18" i="301"/>
  <c r="H58" i="301"/>
  <c r="I59" i="301"/>
  <c r="I91" i="301"/>
  <c r="H61" i="301"/>
  <c r="I82" i="301"/>
  <c r="H18" i="301"/>
  <c r="I17" i="301" l="1"/>
  <c r="P90" i="291"/>
  <c r="P89" i="291"/>
  <c r="P79" i="291" s="1"/>
  <c r="I63" i="301"/>
  <c r="F25" i="301"/>
  <c r="I25" i="301"/>
  <c r="H25" i="301"/>
  <c r="G25" i="301"/>
  <c r="I68" i="301"/>
  <c r="E61" i="299"/>
  <c r="O55" i="291" s="1"/>
  <c r="H68" i="297"/>
  <c r="E62" i="301" s="1"/>
  <c r="E60" i="299"/>
  <c r="O54" i="291" s="1"/>
  <c r="E59" i="299"/>
  <c r="O53" i="291" s="1"/>
  <c r="E58" i="299"/>
  <c r="O52" i="291" s="1"/>
  <c r="D89" i="297"/>
  <c r="D90" i="297"/>
  <c r="D91" i="297"/>
  <c r="D92" i="297"/>
  <c r="D93" i="297"/>
  <c r="D94" i="297"/>
  <c r="D95" i="297"/>
  <c r="D96" i="297"/>
  <c r="G107" i="297"/>
  <c r="H113" i="297"/>
  <c r="E67" i="299" s="1"/>
  <c r="H112" i="297"/>
  <c r="E66" i="299" s="1"/>
  <c r="O60" i="291" s="1"/>
  <c r="H111" i="297"/>
  <c r="E65" i="299" s="1"/>
  <c r="O59" i="291" s="1"/>
  <c r="H110" i="297"/>
  <c r="E64" i="299" s="1"/>
  <c r="O58" i="291" s="1"/>
  <c r="C121" i="297"/>
  <c r="E112" i="1" s="1"/>
  <c r="H126" i="297"/>
  <c r="E72" i="299" s="1"/>
  <c r="O66" i="291" s="1"/>
  <c r="H125" i="297"/>
  <c r="E71" i="299" s="1"/>
  <c r="O65" i="291" s="1"/>
  <c r="H124" i="297"/>
  <c r="E70" i="299" s="1"/>
  <c r="O64" i="291" s="1"/>
  <c r="H123" i="297"/>
  <c r="E69" i="299" s="1"/>
  <c r="O63" i="291" s="1"/>
  <c r="O35" i="291"/>
  <c r="E23" i="299"/>
  <c r="G23" i="299" s="1"/>
  <c r="A6" i="299"/>
  <c r="G91" i="299"/>
  <c r="G88" i="299"/>
  <c r="G82" i="299"/>
  <c r="G80" i="299"/>
  <c r="H80" i="299" s="1"/>
  <c r="G75" i="299"/>
  <c r="H75" i="299" s="1"/>
  <c r="G74" i="299"/>
  <c r="H74" i="299" s="1"/>
  <c r="G73" i="299"/>
  <c r="H73" i="299" s="1"/>
  <c r="G53" i="299"/>
  <c r="G52" i="299"/>
  <c r="E51" i="299"/>
  <c r="G49" i="299"/>
  <c r="H49" i="299" s="1"/>
  <c r="G42" i="299"/>
  <c r="G39" i="299"/>
  <c r="H39" i="299" s="1"/>
  <c r="G38" i="299"/>
  <c r="G36" i="299"/>
  <c r="G33" i="299"/>
  <c r="H33" i="299" s="1"/>
  <c r="G32" i="299"/>
  <c r="H32" i="299" s="1"/>
  <c r="E28" i="299"/>
  <c r="G27" i="299"/>
  <c r="G28" i="299" s="1"/>
  <c r="G24" i="299"/>
  <c r="H24" i="299" s="1"/>
  <c r="C23" i="299"/>
  <c r="G16" i="299"/>
  <c r="H16" i="299" s="1"/>
  <c r="H8" i="299"/>
  <c r="F7" i="299"/>
  <c r="E7" i="299"/>
  <c r="A5" i="299"/>
  <c r="H1" i="299"/>
  <c r="G91" i="298"/>
  <c r="G88" i="298"/>
  <c r="H88" i="298" s="1"/>
  <c r="G82" i="298"/>
  <c r="G80" i="298"/>
  <c r="H80" i="298" s="1"/>
  <c r="G75" i="298"/>
  <c r="H75" i="298" s="1"/>
  <c r="G74" i="298"/>
  <c r="G73" i="298"/>
  <c r="G53" i="298"/>
  <c r="H53" i="298" s="1"/>
  <c r="G52" i="298"/>
  <c r="E51" i="298"/>
  <c r="G49" i="298"/>
  <c r="G42" i="298"/>
  <c r="G39" i="298"/>
  <c r="G38" i="298"/>
  <c r="G36" i="298"/>
  <c r="H36" i="298" s="1"/>
  <c r="G35" i="298"/>
  <c r="G33" i="298"/>
  <c r="G32" i="298"/>
  <c r="H32" i="298" s="1"/>
  <c r="E28" i="298"/>
  <c r="G27" i="298"/>
  <c r="G28" i="298" s="1"/>
  <c r="G24" i="298"/>
  <c r="C23" i="298"/>
  <c r="G16" i="298"/>
  <c r="H16" i="298" s="1"/>
  <c r="H8" i="298"/>
  <c r="F7" i="298"/>
  <c r="E7" i="298"/>
  <c r="A5" i="298"/>
  <c r="H1" i="298"/>
  <c r="E18" i="299"/>
  <c r="D18" i="297"/>
  <c r="D19" i="297"/>
  <c r="D20" i="297"/>
  <c r="B8" i="297"/>
  <c r="B63" i="297" s="1"/>
  <c r="D121" i="297"/>
  <c r="D120" i="297"/>
  <c r="D119" i="297"/>
  <c r="D118" i="297"/>
  <c r="D117" i="297"/>
  <c r="D116" i="297"/>
  <c r="D115" i="297"/>
  <c r="D114" i="297"/>
  <c r="D113" i="297"/>
  <c r="D112" i="297"/>
  <c r="D111" i="297"/>
  <c r="D110" i="297"/>
  <c r="C108" i="297"/>
  <c r="E99" i="1" s="1"/>
  <c r="D107" i="297"/>
  <c r="D106" i="297"/>
  <c r="D105" i="297"/>
  <c r="D104" i="297"/>
  <c r="D103" i="297"/>
  <c r="D102" i="297"/>
  <c r="D101" i="297"/>
  <c r="D100" i="297"/>
  <c r="D99" i="297"/>
  <c r="D98" i="297"/>
  <c r="D97" i="297"/>
  <c r="D88" i="297"/>
  <c r="D87" i="297"/>
  <c r="D86" i="297"/>
  <c r="D85" i="297"/>
  <c r="D84" i="297"/>
  <c r="D83" i="297"/>
  <c r="D82" i="297"/>
  <c r="D81" i="297"/>
  <c r="D80" i="297"/>
  <c r="D79" i="297"/>
  <c r="D78" i="297"/>
  <c r="D77" i="297"/>
  <c r="D76" i="297"/>
  <c r="D75" i="297"/>
  <c r="D74" i="297"/>
  <c r="D73" i="297"/>
  <c r="D72" i="297"/>
  <c r="D71" i="297"/>
  <c r="D70" i="297"/>
  <c r="D69" i="297"/>
  <c r="D68" i="297"/>
  <c r="D67" i="297"/>
  <c r="D66" i="297"/>
  <c r="D65" i="297"/>
  <c r="D64" i="297"/>
  <c r="D48" i="297"/>
  <c r="D47" i="297"/>
  <c r="D46" i="297"/>
  <c r="D45" i="297"/>
  <c r="D44" i="297"/>
  <c r="D43" i="297"/>
  <c r="D42" i="297"/>
  <c r="D41" i="297"/>
  <c r="D40" i="297"/>
  <c r="D39" i="297"/>
  <c r="D38" i="297"/>
  <c r="D37" i="297"/>
  <c r="D36" i="297"/>
  <c r="D35" i="297"/>
  <c r="D34" i="297"/>
  <c r="D33" i="297"/>
  <c r="D32" i="297"/>
  <c r="D54" i="297"/>
  <c r="C54" i="297"/>
  <c r="D51" i="297"/>
  <c r="C49" i="297"/>
  <c r="E22" i="299" s="1"/>
  <c r="O17" i="291" s="1"/>
  <c r="D31" i="297"/>
  <c r="D30" i="297"/>
  <c r="D29" i="297"/>
  <c r="D28" i="297"/>
  <c r="D27" i="297"/>
  <c r="D26" i="297"/>
  <c r="D25" i="297"/>
  <c r="D24" i="297"/>
  <c r="D23" i="297"/>
  <c r="D22" i="297"/>
  <c r="D21" i="297"/>
  <c r="D17" i="297"/>
  <c r="E27" i="1"/>
  <c r="D14" i="297"/>
  <c r="C9" i="297"/>
  <c r="A4" i="297"/>
  <c r="D1" i="297"/>
  <c r="D99" i="296"/>
  <c r="C99" i="296"/>
  <c r="E111" i="1" s="1"/>
  <c r="D98" i="296"/>
  <c r="D97" i="296"/>
  <c r="D96" i="296"/>
  <c r="D95" i="296"/>
  <c r="D94" i="296"/>
  <c r="D93" i="296"/>
  <c r="D92" i="296"/>
  <c r="D91" i="296"/>
  <c r="D90" i="296"/>
  <c r="D89" i="296"/>
  <c r="D88" i="296"/>
  <c r="C86" i="296"/>
  <c r="E98" i="1" s="1"/>
  <c r="D85" i="296"/>
  <c r="D84" i="296"/>
  <c r="D83" i="296"/>
  <c r="D82" i="296"/>
  <c r="D81" i="296"/>
  <c r="D80" i="296"/>
  <c r="D79" i="296"/>
  <c r="D78" i="296"/>
  <c r="D77" i="296"/>
  <c r="D76" i="296"/>
  <c r="D75" i="296"/>
  <c r="D74" i="296"/>
  <c r="D73" i="296"/>
  <c r="D72" i="296"/>
  <c r="D71" i="296"/>
  <c r="D70" i="296"/>
  <c r="D69" i="296"/>
  <c r="D68" i="296"/>
  <c r="D67" i="296"/>
  <c r="D66" i="296"/>
  <c r="D65" i="296"/>
  <c r="D64" i="296"/>
  <c r="D63" i="296"/>
  <c r="D62" i="296"/>
  <c r="D61" i="296"/>
  <c r="D60" i="296"/>
  <c r="D59" i="296"/>
  <c r="D58" i="296"/>
  <c r="D57" i="296"/>
  <c r="D56" i="296"/>
  <c r="D55" i="296"/>
  <c r="D54" i="296"/>
  <c r="D53" i="296"/>
  <c r="D52" i="296"/>
  <c r="D51" i="296"/>
  <c r="D50" i="296"/>
  <c r="D49" i="296"/>
  <c r="D48" i="296"/>
  <c r="D47" i="296"/>
  <c r="D46" i="296"/>
  <c r="D45" i="296"/>
  <c r="D44" i="296"/>
  <c r="D28" i="296"/>
  <c r="D27" i="296"/>
  <c r="D26" i="296"/>
  <c r="D25" i="296"/>
  <c r="D34" i="296"/>
  <c r="C34" i="296"/>
  <c r="D31" i="296"/>
  <c r="C29" i="296"/>
  <c r="D24" i="296"/>
  <c r="D23" i="296"/>
  <c r="D22" i="296"/>
  <c r="D21" i="296"/>
  <c r="D20" i="296"/>
  <c r="D19" i="296"/>
  <c r="D18" i="296"/>
  <c r="D17" i="296"/>
  <c r="D14" i="296"/>
  <c r="C9" i="296"/>
  <c r="A4" i="296"/>
  <c r="D1" i="296"/>
  <c r="G35" i="299" l="1"/>
  <c r="H35" i="299" s="1"/>
  <c r="O29" i="291"/>
  <c r="O62" i="291"/>
  <c r="G67" i="299"/>
  <c r="H67" i="299" s="1"/>
  <c r="O61" i="291"/>
  <c r="O57" i="291" s="1"/>
  <c r="O51" i="291"/>
  <c r="D62" i="297"/>
  <c r="H23" i="299"/>
  <c r="H22" i="299" s="1"/>
  <c r="G22" i="299"/>
  <c r="D15" i="297"/>
  <c r="D42" i="296"/>
  <c r="D15" i="296"/>
  <c r="F53" i="299"/>
  <c r="F21" i="299"/>
  <c r="I21" i="299" s="1"/>
  <c r="F20" i="299"/>
  <c r="I20" i="299" s="1"/>
  <c r="F53" i="298"/>
  <c r="I53" i="298" s="1"/>
  <c r="F20" i="298"/>
  <c r="I20" i="298" s="1"/>
  <c r="F21" i="298"/>
  <c r="F19" i="298"/>
  <c r="I19" i="298" s="1"/>
  <c r="I21" i="298"/>
  <c r="F33" i="299"/>
  <c r="I33" i="299" s="1"/>
  <c r="F59" i="299"/>
  <c r="G51" i="299"/>
  <c r="F73" i="299"/>
  <c r="I73" i="299" s="1"/>
  <c r="H27" i="299"/>
  <c r="H28" i="299" s="1"/>
  <c r="E17" i="299"/>
  <c r="O16" i="291" s="1"/>
  <c r="O19" i="291" s="1"/>
  <c r="F23" i="299"/>
  <c r="F22" i="299" s="1"/>
  <c r="F60" i="299"/>
  <c r="G60" i="299"/>
  <c r="H60" i="299" s="1"/>
  <c r="G61" i="299"/>
  <c r="H61" i="299" s="1"/>
  <c r="F61" i="299"/>
  <c r="G62" i="301"/>
  <c r="H62" i="301" s="1"/>
  <c r="E57" i="301"/>
  <c r="F62" i="301"/>
  <c r="G59" i="299"/>
  <c r="E62" i="299"/>
  <c r="G62" i="299" s="1"/>
  <c r="H62" i="299" s="1"/>
  <c r="F33" i="298"/>
  <c r="I33" i="298" s="1"/>
  <c r="F82" i="298"/>
  <c r="F91" i="298"/>
  <c r="I91" i="298" s="1"/>
  <c r="F16" i="298"/>
  <c r="F73" i="298"/>
  <c r="I73" i="298" s="1"/>
  <c r="F38" i="298"/>
  <c r="I38" i="298" s="1"/>
  <c r="F24" i="298"/>
  <c r="I24" i="298" s="1"/>
  <c r="F42" i="298"/>
  <c r="I42" i="298" s="1"/>
  <c r="D29" i="296"/>
  <c r="E39" i="1"/>
  <c r="E22" i="298"/>
  <c r="N17" i="291" s="1"/>
  <c r="E26" i="1"/>
  <c r="E17" i="298"/>
  <c r="N16" i="291" s="1"/>
  <c r="F35" i="299"/>
  <c r="I35" i="299" s="1"/>
  <c r="H93" i="296"/>
  <c r="H106" i="296"/>
  <c r="D86" i="296"/>
  <c r="C13" i="296"/>
  <c r="F35" i="298"/>
  <c r="I35" i="298" s="1"/>
  <c r="G64" i="299"/>
  <c r="H64" i="299" s="1"/>
  <c r="F64" i="299"/>
  <c r="G65" i="299"/>
  <c r="H65" i="299" s="1"/>
  <c r="G69" i="299"/>
  <c r="H69" i="299" s="1"/>
  <c r="F69" i="299"/>
  <c r="F70" i="299"/>
  <c r="G70" i="299"/>
  <c r="H70" i="299" s="1"/>
  <c r="E68" i="299"/>
  <c r="N95" i="299" s="1"/>
  <c r="G72" i="299"/>
  <c r="H72" i="299" s="1"/>
  <c r="F19" i="299"/>
  <c r="G19" i="299"/>
  <c r="H19" i="299" s="1"/>
  <c r="E40" i="1"/>
  <c r="B16" i="297"/>
  <c r="B50" i="297"/>
  <c r="I16" i="299"/>
  <c r="F38" i="299"/>
  <c r="H53" i="299"/>
  <c r="F91" i="299"/>
  <c r="I91" i="299" s="1"/>
  <c r="I53" i="299"/>
  <c r="F82" i="299"/>
  <c r="F27" i="299"/>
  <c r="F28" i="299" s="1"/>
  <c r="H38" i="299"/>
  <c r="F41" i="299"/>
  <c r="E63" i="299"/>
  <c r="F66" i="299"/>
  <c r="H91" i="299"/>
  <c r="F36" i="299"/>
  <c r="I36" i="299" s="1"/>
  <c r="I38" i="299"/>
  <c r="G41" i="299"/>
  <c r="G66" i="299"/>
  <c r="H82" i="299"/>
  <c r="F88" i="299"/>
  <c r="I88" i="299" s="1"/>
  <c r="F18" i="299"/>
  <c r="F39" i="299"/>
  <c r="I39" i="299" s="1"/>
  <c r="F49" i="299"/>
  <c r="I49" i="299" s="1"/>
  <c r="F71" i="299"/>
  <c r="F80" i="299"/>
  <c r="I80" i="299" s="1"/>
  <c r="G18" i="299"/>
  <c r="H18" i="299" s="1"/>
  <c r="F24" i="299"/>
  <c r="I24" i="299" s="1"/>
  <c r="H36" i="299"/>
  <c r="G71" i="299"/>
  <c r="F74" i="299"/>
  <c r="I74" i="299" s="1"/>
  <c r="H88" i="299"/>
  <c r="F16" i="299"/>
  <c r="F42" i="299"/>
  <c r="I42" i="299" s="1"/>
  <c r="F52" i="299"/>
  <c r="F51" i="299" s="1"/>
  <c r="F65" i="299"/>
  <c r="F67" i="299"/>
  <c r="I67" i="299" s="1"/>
  <c r="H42" i="299"/>
  <c r="H52" i="299"/>
  <c r="F58" i="299"/>
  <c r="F32" i="299"/>
  <c r="I32" i="299" s="1"/>
  <c r="G58" i="299"/>
  <c r="H58" i="299" s="1"/>
  <c r="F72" i="299"/>
  <c r="F75" i="299"/>
  <c r="I75" i="299" s="1"/>
  <c r="I16" i="298"/>
  <c r="F23" i="298"/>
  <c r="F22" i="298" s="1"/>
  <c r="H35" i="298"/>
  <c r="G23" i="298"/>
  <c r="G22" i="298" s="1"/>
  <c r="F27" i="298"/>
  <c r="H38" i="298"/>
  <c r="F41" i="298"/>
  <c r="H91" i="298"/>
  <c r="H33" i="298"/>
  <c r="F36" i="298"/>
  <c r="I36" i="298" s="1"/>
  <c r="G41" i="298"/>
  <c r="G51" i="298"/>
  <c r="H73" i="298"/>
  <c r="H82" i="298"/>
  <c r="F88" i="298"/>
  <c r="I88" i="298" s="1"/>
  <c r="H27" i="298"/>
  <c r="H28" i="298" s="1"/>
  <c r="F39" i="298"/>
  <c r="F49" i="298"/>
  <c r="I49" i="298" s="1"/>
  <c r="F80" i="298"/>
  <c r="I80" i="298" s="1"/>
  <c r="F74" i="298"/>
  <c r="I74" i="298" s="1"/>
  <c r="H39" i="298"/>
  <c r="H49" i="298"/>
  <c r="F52" i="298"/>
  <c r="H24" i="298"/>
  <c r="H74" i="298"/>
  <c r="H42" i="298"/>
  <c r="H52" i="298"/>
  <c r="H51" i="298" s="1"/>
  <c r="F32" i="298"/>
  <c r="F75" i="298"/>
  <c r="I75" i="298" s="1"/>
  <c r="H128" i="297"/>
  <c r="D108" i="297"/>
  <c r="C13" i="297"/>
  <c r="D49" i="297"/>
  <c r="H115" i="297"/>
  <c r="D13" i="296"/>
  <c r="O28" i="291"/>
  <c r="N34" i="291"/>
  <c r="N28" i="291"/>
  <c r="N25" i="291"/>
  <c r="N24" i="291" s="1"/>
  <c r="M86" i="291"/>
  <c r="M87" i="291" s="1"/>
  <c r="M48" i="291"/>
  <c r="M44" i="291" s="1"/>
  <c r="M42" i="291"/>
  <c r="M41" i="291"/>
  <c r="M34" i="291"/>
  <c r="M28" i="291"/>
  <c r="M25" i="291"/>
  <c r="M24" i="291" s="1"/>
  <c r="L35" i="291"/>
  <c r="L29" i="291"/>
  <c r="J35" i="291"/>
  <c r="J29" i="291"/>
  <c r="G40" i="299" l="1"/>
  <c r="H40" i="299" s="1"/>
  <c r="O34" i="291"/>
  <c r="E30" i="299"/>
  <c r="O25" i="291"/>
  <c r="O24" i="291" s="1"/>
  <c r="O70" i="291"/>
  <c r="I65" i="299"/>
  <c r="G17" i="299"/>
  <c r="H17" i="299" s="1"/>
  <c r="F17" i="299"/>
  <c r="O90" i="291"/>
  <c r="O89" i="291"/>
  <c r="O79" i="291" s="1"/>
  <c r="E25" i="299"/>
  <c r="N19" i="291"/>
  <c r="N90" i="291"/>
  <c r="N101" i="291"/>
  <c r="N104" i="291" s="1"/>
  <c r="N89" i="291"/>
  <c r="N79" i="291" s="1"/>
  <c r="F51" i="298"/>
  <c r="I23" i="299"/>
  <c r="I22" i="299" s="1"/>
  <c r="I52" i="299"/>
  <c r="I59" i="299"/>
  <c r="I41" i="298"/>
  <c r="F92" i="298"/>
  <c r="F93" i="298" s="1"/>
  <c r="N86" i="291"/>
  <c r="N87" i="291" s="1"/>
  <c r="E93" i="299"/>
  <c r="O86" i="291"/>
  <c r="O87" i="291" s="1"/>
  <c r="H54" i="298"/>
  <c r="H50" i="298" s="1"/>
  <c r="N48" i="291"/>
  <c r="N44" i="291" s="1"/>
  <c r="H54" i="299"/>
  <c r="O48" i="291"/>
  <c r="O44" i="291" s="1"/>
  <c r="F54" i="298"/>
  <c r="I54" i="298" s="1"/>
  <c r="M40" i="291"/>
  <c r="M39" i="291" s="1"/>
  <c r="F48" i="298"/>
  <c r="N42" i="291"/>
  <c r="H47" i="299"/>
  <c r="O41" i="291"/>
  <c r="I61" i="299"/>
  <c r="I62" i="301"/>
  <c r="I60" i="299"/>
  <c r="F62" i="299"/>
  <c r="I62" i="299" s="1"/>
  <c r="I64" i="299"/>
  <c r="E57" i="299"/>
  <c r="E79" i="301"/>
  <c r="P73" i="291" s="1"/>
  <c r="G57" i="301"/>
  <c r="H57" i="301" s="1"/>
  <c r="H76" i="301" s="1"/>
  <c r="F57" i="301"/>
  <c r="F76" i="301" s="1"/>
  <c r="E76" i="301"/>
  <c r="N93" i="301"/>
  <c r="N96" i="301" s="1"/>
  <c r="E96" i="301"/>
  <c r="H59" i="299"/>
  <c r="G48" i="298"/>
  <c r="E25" i="298"/>
  <c r="H92" i="299"/>
  <c r="H93" i="299" s="1"/>
  <c r="F54" i="299"/>
  <c r="I54" i="299" s="1"/>
  <c r="G31" i="299"/>
  <c r="H31" i="299" s="1"/>
  <c r="H30" i="299" s="1"/>
  <c r="I41" i="299"/>
  <c r="G50" i="299"/>
  <c r="F92" i="299"/>
  <c r="N41" i="291"/>
  <c r="G93" i="298"/>
  <c r="E93" i="298"/>
  <c r="F47" i="299"/>
  <c r="F31" i="299"/>
  <c r="F30" i="299" s="1"/>
  <c r="E50" i="299"/>
  <c r="G34" i="299"/>
  <c r="F34" i="299"/>
  <c r="E50" i="298"/>
  <c r="I23" i="298"/>
  <c r="I22" i="298" s="1"/>
  <c r="F40" i="299"/>
  <c r="I40" i="299" s="1"/>
  <c r="I69" i="299"/>
  <c r="I72" i="299"/>
  <c r="G68" i="299"/>
  <c r="H68" i="299" s="1"/>
  <c r="I19" i="299"/>
  <c r="I71" i="299"/>
  <c r="I70" i="299"/>
  <c r="D13" i="297"/>
  <c r="F68" i="299"/>
  <c r="H41" i="299"/>
  <c r="I18" i="299"/>
  <c r="H25" i="299"/>
  <c r="H51" i="299"/>
  <c r="I27" i="299"/>
  <c r="I28" i="299" s="1"/>
  <c r="I58" i="299"/>
  <c r="I51" i="299"/>
  <c r="G25" i="299"/>
  <c r="I17" i="299"/>
  <c r="F25" i="299"/>
  <c r="N94" i="299"/>
  <c r="G63" i="299"/>
  <c r="F63" i="299"/>
  <c r="H71" i="299"/>
  <c r="I82" i="299"/>
  <c r="I66" i="299"/>
  <c r="H66" i="299"/>
  <c r="I39" i="298"/>
  <c r="H41" i="298"/>
  <c r="I32" i="298"/>
  <c r="I82" i="298"/>
  <c r="I52" i="298"/>
  <c r="I51" i="298" s="1"/>
  <c r="H23" i="298"/>
  <c r="H22" i="298" s="1"/>
  <c r="F28" i="298"/>
  <c r="I27" i="298"/>
  <c r="I28" i="298" s="1"/>
  <c r="L86" i="291"/>
  <c r="L87" i="291" s="1"/>
  <c r="L48" i="291"/>
  <c r="L44" i="291" s="1"/>
  <c r="L42" i="291"/>
  <c r="L34" i="291"/>
  <c r="L28" i="291"/>
  <c r="L25" i="291"/>
  <c r="L24" i="291" s="1"/>
  <c r="E61" i="295"/>
  <c r="L55" i="291" s="1"/>
  <c r="E60" i="295"/>
  <c r="L54" i="291" s="1"/>
  <c r="E59" i="295"/>
  <c r="L53" i="291" s="1"/>
  <c r="E58" i="295"/>
  <c r="L52" i="291" s="1"/>
  <c r="E62" i="295"/>
  <c r="G99" i="294"/>
  <c r="B51" i="294"/>
  <c r="F111" i="1"/>
  <c r="G111" i="1"/>
  <c r="H111" i="1" s="1"/>
  <c r="G112" i="1"/>
  <c r="F112" i="1"/>
  <c r="H104" i="294"/>
  <c r="E66" i="295" s="1"/>
  <c r="H105" i="294"/>
  <c r="E67" i="295" s="1"/>
  <c r="H103" i="294"/>
  <c r="E65" i="295" s="1"/>
  <c r="H102" i="294"/>
  <c r="E64" i="295" s="1"/>
  <c r="L58" i="291" s="1"/>
  <c r="C116" i="294"/>
  <c r="E109" i="1" s="1"/>
  <c r="F109" i="1" s="1"/>
  <c r="D107" i="294"/>
  <c r="D108" i="294"/>
  <c r="D109" i="294"/>
  <c r="D110" i="294"/>
  <c r="F98" i="1"/>
  <c r="G98" i="1"/>
  <c r="H98" i="1" s="1"/>
  <c r="H121" i="294"/>
  <c r="E72" i="295" s="1"/>
  <c r="H120" i="294"/>
  <c r="E71" i="295" s="1"/>
  <c r="L65" i="291" s="1"/>
  <c r="H119" i="294"/>
  <c r="E70" i="295" s="1"/>
  <c r="H118" i="294"/>
  <c r="E69" i="295" s="1"/>
  <c r="E23" i="295"/>
  <c r="A6" i="295"/>
  <c r="G91" i="295"/>
  <c r="G88" i="295"/>
  <c r="G82" i="295"/>
  <c r="H82" i="295" s="1"/>
  <c r="G80" i="295"/>
  <c r="G75" i="295"/>
  <c r="H75" i="295" s="1"/>
  <c r="G74" i="295"/>
  <c r="H74" i="295" s="1"/>
  <c r="G73" i="295"/>
  <c r="H73" i="295" s="1"/>
  <c r="G53" i="295"/>
  <c r="H53" i="295" s="1"/>
  <c r="G52" i="295"/>
  <c r="H52" i="295" s="1"/>
  <c r="E51" i="295"/>
  <c r="G49" i="295"/>
  <c r="H49" i="295" s="1"/>
  <c r="G42" i="295"/>
  <c r="H42" i="295" s="1"/>
  <c r="G41" i="295"/>
  <c r="G39" i="295"/>
  <c r="H39" i="295" s="1"/>
  <c r="G38" i="295"/>
  <c r="G36" i="295"/>
  <c r="G35" i="295"/>
  <c r="H35" i="295" s="1"/>
  <c r="G33" i="295"/>
  <c r="H33" i="295" s="1"/>
  <c r="G32" i="295"/>
  <c r="H32" i="295" s="1"/>
  <c r="G28" i="295"/>
  <c r="E28" i="295"/>
  <c r="G27" i="295"/>
  <c r="G24" i="295"/>
  <c r="H24" i="295" s="1"/>
  <c r="C23" i="295"/>
  <c r="G16" i="295"/>
  <c r="H16" i="295" s="1"/>
  <c r="H8" i="295"/>
  <c r="F7" i="295"/>
  <c r="E7" i="295"/>
  <c r="A5" i="295"/>
  <c r="H1" i="295"/>
  <c r="H20" i="294"/>
  <c r="G19" i="295"/>
  <c r="E18" i="295"/>
  <c r="B8" i="294"/>
  <c r="D116" i="294"/>
  <c r="D115" i="294"/>
  <c r="D114" i="294"/>
  <c r="D113" i="294"/>
  <c r="D112" i="294"/>
  <c r="D111" i="294"/>
  <c r="D106" i="294"/>
  <c r="D105" i="294"/>
  <c r="D104" i="294"/>
  <c r="D103" i="294"/>
  <c r="D102" i="294"/>
  <c r="E96" i="1"/>
  <c r="D99" i="294"/>
  <c r="D98" i="294"/>
  <c r="D97" i="294"/>
  <c r="D96" i="294"/>
  <c r="D95" i="294"/>
  <c r="D94" i="294"/>
  <c r="D93" i="294"/>
  <c r="D92" i="294"/>
  <c r="D91" i="294"/>
  <c r="D90" i="294"/>
  <c r="D89" i="294"/>
  <c r="D88" i="294"/>
  <c r="D87" i="294"/>
  <c r="D86" i="294"/>
  <c r="D85" i="294"/>
  <c r="D84" i="294"/>
  <c r="D83" i="294"/>
  <c r="D82" i="294"/>
  <c r="D81" i="294"/>
  <c r="D80" i="294"/>
  <c r="D79" i="294"/>
  <c r="D78" i="294"/>
  <c r="D77" i="294"/>
  <c r="D76" i="294"/>
  <c r="D75" i="294"/>
  <c r="D74" i="294"/>
  <c r="D73" i="294"/>
  <c r="D72" i="294"/>
  <c r="D71" i="294"/>
  <c r="D70" i="294"/>
  <c r="D69" i="294"/>
  <c r="D68" i="294"/>
  <c r="D67" i="294"/>
  <c r="D66" i="294"/>
  <c r="D65" i="294"/>
  <c r="D64" i="294"/>
  <c r="D63" i="294"/>
  <c r="D62" i="294"/>
  <c r="D61" i="294"/>
  <c r="D60" i="294"/>
  <c r="D59" i="294"/>
  <c r="D58" i="294"/>
  <c r="D57" i="294"/>
  <c r="D56" i="294"/>
  <c r="D55" i="294"/>
  <c r="D54" i="294"/>
  <c r="D53" i="294"/>
  <c r="D52" i="294"/>
  <c r="D36" i="294"/>
  <c r="D35" i="294"/>
  <c r="D34" i="294"/>
  <c r="D33" i="294"/>
  <c r="D32" i="294"/>
  <c r="D31" i="294"/>
  <c r="D30" i="294"/>
  <c r="D42" i="294"/>
  <c r="C42" i="294"/>
  <c r="D39" i="294"/>
  <c r="D37" i="294"/>
  <c r="D29" i="294"/>
  <c r="D28" i="294"/>
  <c r="D27" i="294"/>
  <c r="D26" i="294"/>
  <c r="D25" i="294"/>
  <c r="D24" i="294"/>
  <c r="D23" i="294"/>
  <c r="D22" i="294"/>
  <c r="D21" i="294"/>
  <c r="D20" i="294"/>
  <c r="D19" i="294"/>
  <c r="D18" i="294"/>
  <c r="D17" i="294"/>
  <c r="E24" i="1"/>
  <c r="D14" i="294"/>
  <c r="C9" i="294"/>
  <c r="A4" i="294"/>
  <c r="D1" i="294"/>
  <c r="E61" i="293"/>
  <c r="J55" i="291" s="1"/>
  <c r="E60" i="293"/>
  <c r="J54" i="291" s="1"/>
  <c r="E59" i="293"/>
  <c r="J53" i="291" s="1"/>
  <c r="H58" i="280"/>
  <c r="E62" i="293" s="1"/>
  <c r="J56" i="291" s="1"/>
  <c r="E58" i="293"/>
  <c r="J52" i="291" s="1"/>
  <c r="D77" i="280"/>
  <c r="D78" i="280"/>
  <c r="D79" i="280"/>
  <c r="D80" i="280"/>
  <c r="D81" i="280"/>
  <c r="D82" i="280"/>
  <c r="D83" i="280"/>
  <c r="D84" i="280"/>
  <c r="D85" i="280"/>
  <c r="D86" i="280"/>
  <c r="D87" i="280"/>
  <c r="D88" i="280"/>
  <c r="D89" i="280"/>
  <c r="D90" i="280"/>
  <c r="D91" i="280"/>
  <c r="D92" i="280"/>
  <c r="D93" i="280"/>
  <c r="D94" i="280"/>
  <c r="D95" i="280"/>
  <c r="G100" i="280"/>
  <c r="H106" i="280"/>
  <c r="E67" i="293" s="1"/>
  <c r="J61" i="291" s="1"/>
  <c r="H105" i="280"/>
  <c r="E66" i="293" s="1"/>
  <c r="J60" i="291" s="1"/>
  <c r="H104" i="280"/>
  <c r="E65" i="293" s="1"/>
  <c r="J59" i="291" s="1"/>
  <c r="H103" i="280"/>
  <c r="E64" i="293" s="1"/>
  <c r="J58" i="291" s="1"/>
  <c r="H118" i="280"/>
  <c r="E72" i="293" s="1"/>
  <c r="J66" i="291" s="1"/>
  <c r="H117" i="280"/>
  <c r="E71" i="293" s="1"/>
  <c r="J65" i="291" s="1"/>
  <c r="H116" i="280"/>
  <c r="E70" i="293" s="1"/>
  <c r="J64" i="291" s="1"/>
  <c r="H115" i="280"/>
  <c r="E69" i="293" s="1"/>
  <c r="J63" i="291" s="1"/>
  <c r="B53" i="280"/>
  <c r="P72" i="291" l="1"/>
  <c r="P80" i="291"/>
  <c r="P77" i="291"/>
  <c r="P78" i="291"/>
  <c r="E84" i="301"/>
  <c r="E83" i="301"/>
  <c r="E86" i="301"/>
  <c r="N93" i="299"/>
  <c r="G72" i="295"/>
  <c r="L66" i="291"/>
  <c r="G70" i="295"/>
  <c r="H70" i="295" s="1"/>
  <c r="L64" i="291"/>
  <c r="G69" i="295"/>
  <c r="L63" i="291"/>
  <c r="L62" i="291" s="1"/>
  <c r="L103" i="291" s="1"/>
  <c r="G67" i="295"/>
  <c r="L61" i="291"/>
  <c r="G65" i="295"/>
  <c r="H65" i="295" s="1"/>
  <c r="L59" i="291"/>
  <c r="G66" i="295"/>
  <c r="L60" i="291"/>
  <c r="L57" i="291" s="1"/>
  <c r="L102" i="291" s="1"/>
  <c r="G62" i="295"/>
  <c r="H62" i="295" s="1"/>
  <c r="L56" i="291"/>
  <c r="L51" i="291"/>
  <c r="D50" i="294"/>
  <c r="D15" i="294"/>
  <c r="J62" i="291"/>
  <c r="J103" i="291" s="1"/>
  <c r="J57" i="291"/>
  <c r="J102" i="291" s="1"/>
  <c r="J51" i="291"/>
  <c r="I82" i="295"/>
  <c r="F53" i="295"/>
  <c r="I53" i="295" s="1"/>
  <c r="F21" i="295"/>
  <c r="I21" i="295" s="1"/>
  <c r="F20" i="295"/>
  <c r="I20" i="295" s="1"/>
  <c r="I16" i="295"/>
  <c r="I48" i="298"/>
  <c r="N40" i="291"/>
  <c r="N39" i="291" s="1"/>
  <c r="H50" i="299"/>
  <c r="G50" i="298"/>
  <c r="F50" i="298"/>
  <c r="I50" i="298"/>
  <c r="I92" i="299"/>
  <c r="I93" i="299" s="1"/>
  <c r="G93" i="299"/>
  <c r="H48" i="298"/>
  <c r="E46" i="299"/>
  <c r="E45" i="299" s="1"/>
  <c r="O42" i="291"/>
  <c r="O40" i="291" s="1"/>
  <c r="O39" i="291" s="1"/>
  <c r="E79" i="299"/>
  <c r="G79" i="299" s="1"/>
  <c r="G30" i="299"/>
  <c r="I31" i="299"/>
  <c r="I30" i="299" s="1"/>
  <c r="F50" i="299"/>
  <c r="F93" i="299"/>
  <c r="I50" i="299"/>
  <c r="N96" i="299"/>
  <c r="E96" i="299"/>
  <c r="G96" i="299" s="1"/>
  <c r="H96" i="299" s="1"/>
  <c r="I96" i="299" s="1"/>
  <c r="F57" i="299"/>
  <c r="F76" i="299" s="1"/>
  <c r="G57" i="299"/>
  <c r="H57" i="299" s="1"/>
  <c r="E76" i="299"/>
  <c r="E43" i="299" s="1"/>
  <c r="O37" i="291" s="1"/>
  <c r="O31" i="291" s="1"/>
  <c r="O81" i="291" s="1"/>
  <c r="G96" i="301"/>
  <c r="H96" i="301" s="1"/>
  <c r="I96" i="301" s="1"/>
  <c r="F96" i="301"/>
  <c r="E43" i="301"/>
  <c r="P37" i="291" s="1"/>
  <c r="E44" i="301"/>
  <c r="P38" i="291" s="1"/>
  <c r="I68" i="299"/>
  <c r="G76" i="301"/>
  <c r="I57" i="301"/>
  <c r="I76" i="301" s="1"/>
  <c r="E95" i="301"/>
  <c r="E85" i="301" s="1"/>
  <c r="E78" i="301"/>
  <c r="F79" i="301"/>
  <c r="F78" i="301" s="1"/>
  <c r="G79" i="301"/>
  <c r="I98" i="1"/>
  <c r="F35" i="295"/>
  <c r="I35" i="295" s="1"/>
  <c r="F88" i="295"/>
  <c r="I88" i="295" s="1"/>
  <c r="F36" i="295"/>
  <c r="I36" i="295" s="1"/>
  <c r="H51" i="295"/>
  <c r="F91" i="295"/>
  <c r="I91" i="295" s="1"/>
  <c r="F27" i="295"/>
  <c r="F28" i="295" s="1"/>
  <c r="F33" i="295"/>
  <c r="I33" i="295" s="1"/>
  <c r="F38" i="295"/>
  <c r="I38" i="295" s="1"/>
  <c r="F73" i="295"/>
  <c r="I73" i="295" s="1"/>
  <c r="F58" i="295"/>
  <c r="F82" i="295"/>
  <c r="F59" i="295"/>
  <c r="G61" i="295"/>
  <c r="H61" i="295" s="1"/>
  <c r="F61" i="295"/>
  <c r="F47" i="298"/>
  <c r="F46" i="298" s="1"/>
  <c r="F45" i="298" s="1"/>
  <c r="E46" i="298"/>
  <c r="E45" i="298" s="1"/>
  <c r="I47" i="299"/>
  <c r="H34" i="299"/>
  <c r="I34" i="299"/>
  <c r="I92" i="298"/>
  <c r="I93" i="298" s="1"/>
  <c r="F48" i="299"/>
  <c r="F46" i="299" s="1"/>
  <c r="F45" i="299" s="1"/>
  <c r="G48" i="299"/>
  <c r="H92" i="298"/>
  <c r="H93" i="298" s="1"/>
  <c r="I63" i="299"/>
  <c r="I25" i="299"/>
  <c r="H63" i="299"/>
  <c r="L41" i="291"/>
  <c r="L40" i="291" s="1"/>
  <c r="L39" i="291" s="1"/>
  <c r="G96" i="1"/>
  <c r="F96" i="1"/>
  <c r="G64" i="295"/>
  <c r="H64" i="295" s="1"/>
  <c r="F64" i="295"/>
  <c r="H107" i="294"/>
  <c r="H112" i="1"/>
  <c r="I112" i="1"/>
  <c r="I111" i="1"/>
  <c r="H67" i="295"/>
  <c r="G109" i="1"/>
  <c r="H109" i="1" s="1"/>
  <c r="F70" i="295"/>
  <c r="I70" i="295" s="1"/>
  <c r="E68" i="295"/>
  <c r="F68" i="295" s="1"/>
  <c r="H123" i="294"/>
  <c r="E17" i="295"/>
  <c r="L16" i="291" s="1"/>
  <c r="L19" i="291" s="1"/>
  <c r="D100" i="294"/>
  <c r="E37" i="1"/>
  <c r="C13" i="294"/>
  <c r="E22" i="295"/>
  <c r="L17" i="291" s="1"/>
  <c r="H69" i="295"/>
  <c r="H72" i="295"/>
  <c r="H19" i="295"/>
  <c r="F23" i="295"/>
  <c r="F22" i="295" s="1"/>
  <c r="G23" i="295"/>
  <c r="H38" i="295"/>
  <c r="F41" i="295"/>
  <c r="I41" i="295" s="1"/>
  <c r="E57" i="295"/>
  <c r="G59" i="295"/>
  <c r="E63" i="295"/>
  <c r="F66" i="295"/>
  <c r="I66" i="295" s="1"/>
  <c r="H91" i="295"/>
  <c r="G51" i="295"/>
  <c r="F18" i="295"/>
  <c r="H27" i="295"/>
  <c r="H28" i="295" s="1"/>
  <c r="F39" i="295"/>
  <c r="I39" i="295" s="1"/>
  <c r="H41" i="295"/>
  <c r="F49" i="295"/>
  <c r="I49" i="295" s="1"/>
  <c r="H66" i="295"/>
  <c r="F71" i="295"/>
  <c r="F80" i="295"/>
  <c r="I80" i="295" s="1"/>
  <c r="G18" i="295"/>
  <c r="F24" i="295"/>
  <c r="I24" i="295" s="1"/>
  <c r="H36" i="295"/>
  <c r="G71" i="295"/>
  <c r="F74" i="295"/>
  <c r="I74" i="295" s="1"/>
  <c r="H88" i="295"/>
  <c r="F16" i="295"/>
  <c r="F42" i="295"/>
  <c r="I42" i="295" s="1"/>
  <c r="F52" i="295"/>
  <c r="I52" i="295" s="1"/>
  <c r="F60" i="295"/>
  <c r="F69" i="295"/>
  <c r="I69" i="295" s="1"/>
  <c r="H80" i="295"/>
  <c r="G60" i="295"/>
  <c r="F62" i="295"/>
  <c r="I62" i="295" s="1"/>
  <c r="F65" i="295"/>
  <c r="I65" i="295" s="1"/>
  <c r="F67" i="295"/>
  <c r="I67" i="295" s="1"/>
  <c r="F19" i="295"/>
  <c r="I19" i="295" s="1"/>
  <c r="F32" i="295"/>
  <c r="I32" i="295" s="1"/>
  <c r="G58" i="295"/>
  <c r="F72" i="295"/>
  <c r="I72" i="295" s="1"/>
  <c r="F75" i="295"/>
  <c r="I75" i="295" s="1"/>
  <c r="D13" i="294"/>
  <c r="J86" i="291"/>
  <c r="J87" i="291" s="1"/>
  <c r="J48" i="291"/>
  <c r="J44" i="291" s="1"/>
  <c r="J42" i="291"/>
  <c r="J34" i="291"/>
  <c r="J28" i="291"/>
  <c r="J25" i="291"/>
  <c r="J24" i="291" s="1"/>
  <c r="A6" i="293"/>
  <c r="G91" i="293"/>
  <c r="G88" i="293"/>
  <c r="G82" i="293"/>
  <c r="G80" i="293"/>
  <c r="G75" i="293"/>
  <c r="H75" i="293" s="1"/>
  <c r="G74" i="293"/>
  <c r="G73" i="293"/>
  <c r="H73" i="293" s="1"/>
  <c r="G72" i="293"/>
  <c r="H72" i="293" s="1"/>
  <c r="G70" i="293"/>
  <c r="E68" i="293"/>
  <c r="N95" i="293" s="1"/>
  <c r="G66" i="293"/>
  <c r="G64" i="293"/>
  <c r="E63" i="293"/>
  <c r="N94" i="293" s="1"/>
  <c r="G61" i="293"/>
  <c r="G58" i="293"/>
  <c r="G53" i="293"/>
  <c r="G52" i="293"/>
  <c r="E51" i="293"/>
  <c r="G49" i="293"/>
  <c r="H49" i="293" s="1"/>
  <c r="G42" i="293"/>
  <c r="G39" i="293"/>
  <c r="H39" i="293" s="1"/>
  <c r="H38" i="293"/>
  <c r="G38" i="293"/>
  <c r="G36" i="293"/>
  <c r="G35" i="293"/>
  <c r="G33" i="293"/>
  <c r="H32" i="293"/>
  <c r="G32" i="293"/>
  <c r="E28" i="293"/>
  <c r="G27" i="293"/>
  <c r="G28" i="293" s="1"/>
  <c r="G24" i="293"/>
  <c r="H24" i="293" s="1"/>
  <c r="C23" i="293"/>
  <c r="G16" i="293"/>
  <c r="H16" i="293" s="1"/>
  <c r="H8" i="293"/>
  <c r="F7" i="293"/>
  <c r="F64" i="293" s="1"/>
  <c r="E7" i="293"/>
  <c r="A5" i="293"/>
  <c r="H1" i="293"/>
  <c r="G19" i="293"/>
  <c r="E18" i="293"/>
  <c r="D27" i="280"/>
  <c r="D28" i="280"/>
  <c r="D29" i="280"/>
  <c r="D109" i="292"/>
  <c r="C109" i="292"/>
  <c r="E106" i="1" s="1"/>
  <c r="D108" i="292"/>
  <c r="D107" i="292"/>
  <c r="D106" i="292"/>
  <c r="D105" i="292"/>
  <c r="D104" i="292"/>
  <c r="D103" i="292"/>
  <c r="D102" i="292"/>
  <c r="D101" i="292"/>
  <c r="D100" i="292"/>
  <c r="D99" i="292"/>
  <c r="D98" i="292"/>
  <c r="E93" i="1"/>
  <c r="D95" i="292"/>
  <c r="D94" i="292"/>
  <c r="D93" i="292"/>
  <c r="D92" i="292"/>
  <c r="D91" i="292"/>
  <c r="D90" i="292"/>
  <c r="D89" i="292"/>
  <c r="D88" i="292"/>
  <c r="D87" i="292"/>
  <c r="D86" i="292"/>
  <c r="D85" i="292"/>
  <c r="D84" i="292"/>
  <c r="D83" i="292"/>
  <c r="D82" i="292"/>
  <c r="D81" i="292"/>
  <c r="D80" i="292"/>
  <c r="D79" i="292"/>
  <c r="D78" i="292"/>
  <c r="D77" i="292"/>
  <c r="D76" i="292"/>
  <c r="D75" i="292"/>
  <c r="D74" i="292"/>
  <c r="D73" i="292"/>
  <c r="D72" i="292"/>
  <c r="D71" i="292"/>
  <c r="D70" i="292"/>
  <c r="D69" i="292"/>
  <c r="D68" i="292"/>
  <c r="D67" i="292"/>
  <c r="D66" i="292"/>
  <c r="D65" i="292"/>
  <c r="D64" i="292"/>
  <c r="D63" i="292"/>
  <c r="D62" i="292"/>
  <c r="D61" i="292"/>
  <c r="D60" i="292"/>
  <c r="D59" i="292"/>
  <c r="D58" i="292"/>
  <c r="D57" i="292"/>
  <c r="D56" i="292"/>
  <c r="D55" i="292"/>
  <c r="D54" i="292"/>
  <c r="D53" i="292"/>
  <c r="D52" i="292"/>
  <c r="D51" i="292"/>
  <c r="D35" i="292"/>
  <c r="D34" i="292"/>
  <c r="D33" i="292"/>
  <c r="D32" i="292"/>
  <c r="D31" i="292"/>
  <c r="D30" i="292"/>
  <c r="D29" i="292"/>
  <c r="D28" i="292"/>
  <c r="D27" i="292"/>
  <c r="D41" i="292"/>
  <c r="C41" i="292"/>
  <c r="D38" i="292"/>
  <c r="D26" i="292"/>
  <c r="D25" i="292"/>
  <c r="D24" i="292"/>
  <c r="D23" i="292"/>
  <c r="D22" i="292"/>
  <c r="D21" i="292"/>
  <c r="D20" i="292"/>
  <c r="D19" i="292"/>
  <c r="D18" i="292"/>
  <c r="D17" i="292"/>
  <c r="E21" i="1"/>
  <c r="D14" i="292"/>
  <c r="C9" i="292"/>
  <c r="A4" i="292"/>
  <c r="D1" i="292"/>
  <c r="H117" i="279"/>
  <c r="H116" i="279"/>
  <c r="H115" i="279"/>
  <c r="H114" i="279"/>
  <c r="H103" i="279"/>
  <c r="H102" i="279"/>
  <c r="H101" i="279"/>
  <c r="H100" i="279"/>
  <c r="H59" i="279"/>
  <c r="P75" i="291" l="1"/>
  <c r="E78" i="299"/>
  <c r="F79" i="299"/>
  <c r="F78" i="299" s="1"/>
  <c r="E95" i="299"/>
  <c r="O73" i="291"/>
  <c r="E84" i="299"/>
  <c r="H84" i="299" s="1"/>
  <c r="E86" i="299"/>
  <c r="F86" i="299" s="1"/>
  <c r="E83" i="299"/>
  <c r="H83" i="299" s="1"/>
  <c r="G95" i="299"/>
  <c r="H95" i="299" s="1"/>
  <c r="I95" i="299" s="1"/>
  <c r="L70" i="291"/>
  <c r="I61" i="295"/>
  <c r="H23" i="295"/>
  <c r="H22" i="295" s="1"/>
  <c r="G22" i="295"/>
  <c r="L89" i="291"/>
  <c r="L79" i="291" s="1"/>
  <c r="L101" i="291"/>
  <c r="L104" i="291" s="1"/>
  <c r="L90" i="291"/>
  <c r="J70" i="291"/>
  <c r="D15" i="292"/>
  <c r="I58" i="295"/>
  <c r="I109" i="1"/>
  <c r="F51" i="295"/>
  <c r="I27" i="295"/>
  <c r="I28" i="295" s="1"/>
  <c r="F53" i="293"/>
  <c r="I53" i="293" s="1"/>
  <c r="F20" i="293"/>
  <c r="I20" i="293" s="1"/>
  <c r="F21" i="293"/>
  <c r="I21" i="293" s="1"/>
  <c r="I59" i="295"/>
  <c r="F72" i="293"/>
  <c r="I72" i="293" s="1"/>
  <c r="F38" i="293"/>
  <c r="I38" i="293" s="1"/>
  <c r="E44" i="299"/>
  <c r="O38" i="291" s="1"/>
  <c r="O49" i="291" s="1"/>
  <c r="F96" i="299"/>
  <c r="G76" i="299"/>
  <c r="I57" i="299"/>
  <c r="I76" i="299" s="1"/>
  <c r="H76" i="299"/>
  <c r="G95" i="301"/>
  <c r="H95" i="301" s="1"/>
  <c r="I95" i="301" s="1"/>
  <c r="F95" i="301"/>
  <c r="F44" i="301"/>
  <c r="F43" i="301"/>
  <c r="G43" i="301"/>
  <c r="G86" i="301"/>
  <c r="F86" i="301"/>
  <c r="H79" i="301"/>
  <c r="H78" i="301" s="1"/>
  <c r="I79" i="301"/>
  <c r="I78" i="301" s="1"/>
  <c r="G78" i="301"/>
  <c r="I51" i="295"/>
  <c r="I64" i="295"/>
  <c r="I71" i="295"/>
  <c r="N95" i="295"/>
  <c r="F61" i="293"/>
  <c r="I61" i="293" s="1"/>
  <c r="H27" i="293"/>
  <c r="H28" i="293" s="1"/>
  <c r="F91" i="293"/>
  <c r="I91" i="293" s="1"/>
  <c r="F70" i="293"/>
  <c r="I70" i="293" s="1"/>
  <c r="G51" i="293"/>
  <c r="I64" i="293"/>
  <c r="I96" i="1"/>
  <c r="H96" i="1"/>
  <c r="D49" i="292"/>
  <c r="D36" i="292"/>
  <c r="E34" i="1"/>
  <c r="E22" i="284"/>
  <c r="H48" i="299"/>
  <c r="H46" i="299" s="1"/>
  <c r="H45" i="299" s="1"/>
  <c r="I48" i="299"/>
  <c r="I46" i="299" s="1"/>
  <c r="I45" i="299" s="1"/>
  <c r="G46" i="299"/>
  <c r="G45" i="299" s="1"/>
  <c r="H47" i="298"/>
  <c r="H46" i="298" s="1"/>
  <c r="H45" i="298" s="1"/>
  <c r="I47" i="298"/>
  <c r="I46" i="298" s="1"/>
  <c r="I45" i="298" s="1"/>
  <c r="G46" i="298"/>
  <c r="G45" i="298" s="1"/>
  <c r="C13" i="292"/>
  <c r="H103" i="292"/>
  <c r="H116" i="292"/>
  <c r="F43" i="299"/>
  <c r="F37" i="299" s="1"/>
  <c r="G43" i="299"/>
  <c r="E37" i="299"/>
  <c r="E87" i="299" s="1"/>
  <c r="G86" i="299"/>
  <c r="G78" i="299"/>
  <c r="H79" i="299"/>
  <c r="H78" i="299" s="1"/>
  <c r="J41" i="291"/>
  <c r="J40" i="291" s="1"/>
  <c r="J39" i="291" s="1"/>
  <c r="H59" i="295"/>
  <c r="H58" i="295"/>
  <c r="E25" i="295"/>
  <c r="E96" i="295" s="1"/>
  <c r="F17" i="295"/>
  <c r="G17" i="295"/>
  <c r="H17" i="295" s="1"/>
  <c r="H25" i="295" s="1"/>
  <c r="G68" i="295"/>
  <c r="I68" i="295" s="1"/>
  <c r="H71" i="295"/>
  <c r="I18" i="295"/>
  <c r="N93" i="295"/>
  <c r="H60" i="295"/>
  <c r="I60" i="295"/>
  <c r="H18" i="295"/>
  <c r="N94" i="295"/>
  <c r="F63" i="295"/>
  <c r="G63" i="295"/>
  <c r="E76" i="295"/>
  <c r="F57" i="295"/>
  <c r="E79" i="295"/>
  <c r="L73" i="291" s="1"/>
  <c r="G57" i="295"/>
  <c r="H57" i="295" s="1"/>
  <c r="I23" i="295"/>
  <c r="I22" i="295" s="1"/>
  <c r="G63" i="293"/>
  <c r="H63" i="293" s="1"/>
  <c r="E17" i="293"/>
  <c r="F17" i="293" s="1"/>
  <c r="F35" i="293"/>
  <c r="I35" i="293" s="1"/>
  <c r="H66" i="293"/>
  <c r="H19" i="293"/>
  <c r="I16" i="293"/>
  <c r="H58" i="293"/>
  <c r="H53" i="293"/>
  <c r="F33" i="293"/>
  <c r="I33" i="293" s="1"/>
  <c r="H35" i="293"/>
  <c r="F59" i="293"/>
  <c r="H61" i="293"/>
  <c r="H64" i="293"/>
  <c r="G68" i="293"/>
  <c r="H68" i="293" s="1"/>
  <c r="H70" i="293"/>
  <c r="F73" i="293"/>
  <c r="I73" i="293" s="1"/>
  <c r="F82" i="293"/>
  <c r="F68" i="293"/>
  <c r="F27" i="293"/>
  <c r="F28" i="293" s="1"/>
  <c r="F41" i="293"/>
  <c r="E57" i="293"/>
  <c r="G59" i="293"/>
  <c r="F66" i="293"/>
  <c r="I66" i="293" s="1"/>
  <c r="H91" i="293"/>
  <c r="H33" i="293"/>
  <c r="F36" i="293"/>
  <c r="I36" i="293" s="1"/>
  <c r="G41" i="293"/>
  <c r="F63" i="293"/>
  <c r="H82" i="293"/>
  <c r="F88" i="293"/>
  <c r="I88" i="293" s="1"/>
  <c r="F18" i="293"/>
  <c r="F39" i="293"/>
  <c r="I39" i="293" s="1"/>
  <c r="F49" i="293"/>
  <c r="I49" i="293" s="1"/>
  <c r="F71" i="293"/>
  <c r="F80" i="293"/>
  <c r="G18" i="293"/>
  <c r="F24" i="293"/>
  <c r="I24" i="293" s="1"/>
  <c r="H36" i="293"/>
  <c r="G71" i="293"/>
  <c r="F74" i="293"/>
  <c r="I74" i="293" s="1"/>
  <c r="H88" i="293"/>
  <c r="F16" i="293"/>
  <c r="F42" i="293"/>
  <c r="I42" i="293" s="1"/>
  <c r="F52" i="293"/>
  <c r="F60" i="293"/>
  <c r="F69" i="293"/>
  <c r="H80" i="293"/>
  <c r="G60" i="293"/>
  <c r="F62" i="293"/>
  <c r="F65" i="293"/>
  <c r="F67" i="293"/>
  <c r="G69" i="293"/>
  <c r="H74" i="293"/>
  <c r="H42" i="293"/>
  <c r="H52" i="293"/>
  <c r="F58" i="293"/>
  <c r="I58" i="293" s="1"/>
  <c r="G62" i="293"/>
  <c r="G65" i="293"/>
  <c r="H65" i="293" s="1"/>
  <c r="G67" i="293"/>
  <c r="F19" i="293"/>
  <c r="I19" i="293" s="1"/>
  <c r="F32" i="293"/>
  <c r="I32" i="293" s="1"/>
  <c r="F75" i="293"/>
  <c r="I75" i="293" s="1"/>
  <c r="D96" i="292"/>
  <c r="F24" i="1"/>
  <c r="G24" i="1"/>
  <c r="F26" i="1"/>
  <c r="G26" i="1"/>
  <c r="H26" i="1" s="1"/>
  <c r="F27" i="1"/>
  <c r="G27" i="1"/>
  <c r="F28" i="1"/>
  <c r="G28" i="1"/>
  <c r="H28" i="1" s="1"/>
  <c r="C92" i="278"/>
  <c r="H55" i="278"/>
  <c r="H97" i="278"/>
  <c r="H96" i="278"/>
  <c r="H95" i="278"/>
  <c r="H94" i="278"/>
  <c r="H112" i="278"/>
  <c r="H111" i="278"/>
  <c r="H110" i="278"/>
  <c r="H78" i="277"/>
  <c r="H77" i="277"/>
  <c r="H76" i="277"/>
  <c r="H75" i="277"/>
  <c r="H66" i="277"/>
  <c r="H68" i="277"/>
  <c r="H67" i="277"/>
  <c r="H65" i="277"/>
  <c r="H46" i="277"/>
  <c r="C15" i="277"/>
  <c r="E18" i="287"/>
  <c r="F51" i="293" l="1"/>
  <c r="I79" i="299"/>
  <c r="I78" i="299" s="1"/>
  <c r="F84" i="299"/>
  <c r="I84" i="299" s="1"/>
  <c r="H44" i="299"/>
  <c r="F44" i="299"/>
  <c r="F55" i="299" s="1"/>
  <c r="F83" i="299"/>
  <c r="I83" i="299" s="1"/>
  <c r="O72" i="291"/>
  <c r="O78" i="291"/>
  <c r="O77" i="291"/>
  <c r="O80" i="291"/>
  <c r="E85" i="299"/>
  <c r="E81" i="299" s="1"/>
  <c r="E89" i="299" s="1"/>
  <c r="F95" i="299"/>
  <c r="E84" i="295"/>
  <c r="L72" i="291"/>
  <c r="L80" i="291"/>
  <c r="L78" i="291"/>
  <c r="L77" i="291"/>
  <c r="E86" i="295"/>
  <c r="E83" i="295"/>
  <c r="G17" i="293"/>
  <c r="H17" i="293" s="1"/>
  <c r="J16" i="291"/>
  <c r="E18" i="1"/>
  <c r="H21" i="277"/>
  <c r="I80" i="293"/>
  <c r="J74" i="291"/>
  <c r="I27" i="1"/>
  <c r="E95" i="295"/>
  <c r="E85" i="295" s="1"/>
  <c r="I86" i="301"/>
  <c r="G81" i="301"/>
  <c r="H43" i="301"/>
  <c r="I43" i="301"/>
  <c r="H44" i="301"/>
  <c r="I44" i="301"/>
  <c r="H84" i="301"/>
  <c r="F84" i="301"/>
  <c r="I84" i="301" s="1"/>
  <c r="H85" i="301"/>
  <c r="H81" i="301" s="1"/>
  <c r="F85" i="301"/>
  <c r="I85" i="301" s="1"/>
  <c r="F83" i="301"/>
  <c r="E81" i="301"/>
  <c r="H83" i="301"/>
  <c r="H86" i="301"/>
  <c r="H68" i="295"/>
  <c r="I63" i="295"/>
  <c r="I69" i="293"/>
  <c r="I67" i="293"/>
  <c r="I63" i="293"/>
  <c r="D13" i="292"/>
  <c r="G34" i="1"/>
  <c r="F34" i="1"/>
  <c r="H80" i="277"/>
  <c r="F18" i="1"/>
  <c r="G18" i="1"/>
  <c r="E55" i="299"/>
  <c r="I43" i="299"/>
  <c r="I37" i="299" s="1"/>
  <c r="G37" i="299"/>
  <c r="G55" i="299" s="1"/>
  <c r="F87" i="299"/>
  <c r="G87" i="299"/>
  <c r="I86" i="299"/>
  <c r="G81" i="299"/>
  <c r="H43" i="299"/>
  <c r="H37" i="299" s="1"/>
  <c r="H55" i="299" s="1"/>
  <c r="H86" i="299"/>
  <c r="I17" i="295"/>
  <c r="I25" i="295" s="1"/>
  <c r="G25" i="295"/>
  <c r="F76" i="295"/>
  <c r="N96" i="295"/>
  <c r="F25" i="295"/>
  <c r="H63" i="295"/>
  <c r="G96" i="295"/>
  <c r="H96" i="295" s="1"/>
  <c r="I96" i="295" s="1"/>
  <c r="F96" i="295"/>
  <c r="E43" i="295"/>
  <c r="L37" i="291" s="1"/>
  <c r="L31" i="291" s="1"/>
  <c r="L81" i="291" s="1"/>
  <c r="E44" i="295"/>
  <c r="L38" i="291" s="1"/>
  <c r="I57" i="295"/>
  <c r="G76" i="295"/>
  <c r="E78" i="295"/>
  <c r="G79" i="295"/>
  <c r="F79" i="295"/>
  <c r="F78" i="295" s="1"/>
  <c r="I62" i="293"/>
  <c r="I60" i="293"/>
  <c r="I24" i="1"/>
  <c r="H27" i="1"/>
  <c r="H24" i="1"/>
  <c r="I18" i="293"/>
  <c r="H18" i="293"/>
  <c r="I52" i="293"/>
  <c r="I51" i="293" s="1"/>
  <c r="I17" i="293"/>
  <c r="H69" i="293"/>
  <c r="I71" i="293"/>
  <c r="H62" i="293"/>
  <c r="I41" i="293"/>
  <c r="H41" i="293"/>
  <c r="H51" i="293"/>
  <c r="H67" i="293"/>
  <c r="I68" i="293"/>
  <c r="H60" i="293"/>
  <c r="I59" i="293"/>
  <c r="H59" i="293"/>
  <c r="I65" i="293"/>
  <c r="I27" i="293"/>
  <c r="I28" i="293" s="1"/>
  <c r="I82" i="293"/>
  <c r="G57" i="293"/>
  <c r="H57" i="293" s="1"/>
  <c r="H76" i="293" s="1"/>
  <c r="F57" i="293"/>
  <c r="F76" i="293" s="1"/>
  <c r="E79" i="293"/>
  <c r="E84" i="293" s="1"/>
  <c r="E76" i="293"/>
  <c r="H71" i="293"/>
  <c r="I26" i="1"/>
  <c r="I28" i="1"/>
  <c r="E17" i="287"/>
  <c r="H113" i="276"/>
  <c r="H112" i="276"/>
  <c r="H111" i="276"/>
  <c r="H97" i="276"/>
  <c r="H95" i="276"/>
  <c r="H96" i="276"/>
  <c r="H94" i="276"/>
  <c r="H57" i="276"/>
  <c r="I44" i="299" l="1"/>
  <c r="O75" i="291"/>
  <c r="O83" i="291" s="1"/>
  <c r="O88" i="291" s="1"/>
  <c r="H85" i="299"/>
  <c r="H81" i="299" s="1"/>
  <c r="F85" i="299"/>
  <c r="H76" i="295"/>
  <c r="L75" i="291"/>
  <c r="L83" i="291" s="1"/>
  <c r="L49" i="291"/>
  <c r="G95" i="295"/>
  <c r="H95" i="295" s="1"/>
  <c r="I95" i="295" s="1"/>
  <c r="F95" i="295"/>
  <c r="E83" i="293"/>
  <c r="E86" i="293"/>
  <c r="I18" i="1"/>
  <c r="I76" i="295"/>
  <c r="I83" i="301"/>
  <c r="I81" i="301" s="1"/>
  <c r="F81" i="301"/>
  <c r="E94" i="299"/>
  <c r="G94" i="299" s="1"/>
  <c r="H94" i="299" s="1"/>
  <c r="I94" i="299" s="1"/>
  <c r="I34" i="1"/>
  <c r="H34" i="1"/>
  <c r="H18" i="1"/>
  <c r="I87" i="299"/>
  <c r="G89" i="299"/>
  <c r="H87" i="299"/>
  <c r="I55" i="299"/>
  <c r="G78" i="295"/>
  <c r="I79" i="295"/>
  <c r="I78" i="295" s="1"/>
  <c r="H44" i="295"/>
  <c r="F44" i="295"/>
  <c r="G43" i="295"/>
  <c r="H43" i="295" s="1"/>
  <c r="F43" i="295"/>
  <c r="E81" i="295"/>
  <c r="H83" i="295"/>
  <c r="F83" i="295"/>
  <c r="H79" i="295"/>
  <c r="H78" i="295" s="1"/>
  <c r="H85" i="295"/>
  <c r="F85" i="295"/>
  <c r="I85" i="295" s="1"/>
  <c r="G86" i="295"/>
  <c r="F86" i="295"/>
  <c r="F84" i="295"/>
  <c r="I84" i="295" s="1"/>
  <c r="H84" i="295"/>
  <c r="E43" i="293"/>
  <c r="J37" i="291" s="1"/>
  <c r="J31" i="291" s="1"/>
  <c r="E44" i="293"/>
  <c r="J38" i="291" s="1"/>
  <c r="F79" i="293"/>
  <c r="E78" i="293"/>
  <c r="G79" i="293"/>
  <c r="I57" i="293"/>
  <c r="I76" i="293" s="1"/>
  <c r="G76" i="293"/>
  <c r="H89" i="299" l="1"/>
  <c r="I85" i="299"/>
  <c r="I81" i="299" s="1"/>
  <c r="I89" i="299" s="1"/>
  <c r="F81" i="299"/>
  <c r="F89" i="299" s="1"/>
  <c r="L88" i="291"/>
  <c r="J49" i="291"/>
  <c r="F78" i="293"/>
  <c r="J73" i="291"/>
  <c r="F94" i="299"/>
  <c r="O98" i="291"/>
  <c r="I43" i="295"/>
  <c r="I86" i="295"/>
  <c r="G81" i="295"/>
  <c r="H86" i="295"/>
  <c r="H81" i="295" s="1"/>
  <c r="I44" i="295"/>
  <c r="I83" i="295"/>
  <c r="F81" i="295"/>
  <c r="G43" i="293"/>
  <c r="H43" i="293" s="1"/>
  <c r="F43" i="293"/>
  <c r="F44" i="293"/>
  <c r="G78" i="293"/>
  <c r="I79" i="293"/>
  <c r="I78" i="293" s="1"/>
  <c r="H79" i="293"/>
  <c r="H78" i="293" s="1"/>
  <c r="J72" i="291" l="1"/>
  <c r="J78" i="291"/>
  <c r="J80" i="291"/>
  <c r="J77" i="291"/>
  <c r="I81" i="295"/>
  <c r="I44" i="293"/>
  <c r="H44" i="293"/>
  <c r="I43" i="293"/>
  <c r="E18" i="286" l="1"/>
  <c r="C92" i="276"/>
  <c r="H99" i="276" s="1"/>
  <c r="D86" i="276"/>
  <c r="D87" i="276"/>
  <c r="D88" i="276"/>
  <c r="D89" i="276"/>
  <c r="D90" i="276"/>
  <c r="D91" i="276"/>
  <c r="D95" i="276"/>
  <c r="D96" i="276"/>
  <c r="D97" i="276"/>
  <c r="D98" i="276"/>
  <c r="D99" i="276"/>
  <c r="D100" i="276"/>
  <c r="D101" i="276"/>
  <c r="D102" i="276"/>
  <c r="D103" i="276"/>
  <c r="D104" i="276"/>
  <c r="D105" i="276"/>
  <c r="D106" i="276"/>
  <c r="D107" i="276"/>
  <c r="D94" i="276"/>
  <c r="C15" i="276"/>
  <c r="B23" i="276"/>
  <c r="B22" i="276"/>
  <c r="B21" i="276"/>
  <c r="B20" i="276"/>
  <c r="B19" i="276"/>
  <c r="B18" i="276"/>
  <c r="B17" i="276"/>
  <c r="D31" i="1"/>
  <c r="B28" i="277" s="1"/>
  <c r="D32" i="1"/>
  <c r="B37" i="278" s="1"/>
  <c r="D33" i="1"/>
  <c r="B41" i="279" s="1"/>
  <c r="D34" i="1"/>
  <c r="B37" i="292" s="1"/>
  <c r="D35" i="1"/>
  <c r="B40" i="280" s="1"/>
  <c r="D36" i="1"/>
  <c r="B37" i="282" s="1"/>
  <c r="D37" i="1"/>
  <c r="B38" i="294" s="1"/>
  <c r="D38" i="1"/>
  <c r="B36" i="281" s="1"/>
  <c r="D39" i="1"/>
  <c r="B30" i="296" s="1"/>
  <c r="D40" i="1"/>
  <c r="D41" i="1"/>
  <c r="D18" i="1"/>
  <c r="D19" i="1"/>
  <c r="D20" i="1"/>
  <c r="D21" i="1"/>
  <c r="B16" i="292" s="1"/>
  <c r="D22" i="1"/>
  <c r="D23" i="1"/>
  <c r="B16" i="282" s="1"/>
  <c r="D24" i="1"/>
  <c r="B16" i="294" s="1"/>
  <c r="D25" i="1"/>
  <c r="B16" i="281" s="1"/>
  <c r="D26" i="1"/>
  <c r="B16" i="296" s="1"/>
  <c r="D27" i="1"/>
  <c r="D28" i="1"/>
  <c r="D103" i="1"/>
  <c r="D104" i="1"/>
  <c r="D105" i="1"/>
  <c r="D106" i="1"/>
  <c r="B110" i="292" s="1"/>
  <c r="D107" i="1"/>
  <c r="B114" i="280" s="1"/>
  <c r="D108" i="1"/>
  <c r="D109" i="1"/>
  <c r="B117" i="294" s="1"/>
  <c r="D110" i="1"/>
  <c r="B112" i="281" s="1"/>
  <c r="D111" i="1"/>
  <c r="B100" i="296" s="1"/>
  <c r="D112" i="1"/>
  <c r="B122" i="297" s="1"/>
  <c r="D113" i="1"/>
  <c r="B116" i="300" s="1"/>
  <c r="D94" i="1"/>
  <c r="B102" i="280" s="1"/>
  <c r="D95" i="1"/>
  <c r="B99" i="282" s="1"/>
  <c r="D96" i="1"/>
  <c r="B101" i="294" s="1"/>
  <c r="D97" i="1"/>
  <c r="B97" i="281" s="1"/>
  <c r="D98" i="1"/>
  <c r="B87" i="296" s="1"/>
  <c r="D99" i="1"/>
  <c r="B109" i="297" s="1"/>
  <c r="D100" i="1"/>
  <c r="B103" i="300" s="1"/>
  <c r="E23" i="289"/>
  <c r="G23" i="289" s="1"/>
  <c r="G22" i="289" s="1"/>
  <c r="C23" i="289"/>
  <c r="E62" i="290"/>
  <c r="E61" i="290"/>
  <c r="K55" i="291" s="1"/>
  <c r="E60" i="290"/>
  <c r="K54" i="291" s="1"/>
  <c r="E59" i="290"/>
  <c r="E58" i="290"/>
  <c r="K52" i="291" s="1"/>
  <c r="E23" i="290"/>
  <c r="G23" i="290" s="1"/>
  <c r="G22" i="290" s="1"/>
  <c r="C23" i="290"/>
  <c r="G23" i="284"/>
  <c r="G22" i="284" s="1"/>
  <c r="C23" i="284"/>
  <c r="E23" i="285"/>
  <c r="G23" i="285" s="1"/>
  <c r="G22" i="285" s="1"/>
  <c r="C23" i="285"/>
  <c r="E23" i="288"/>
  <c r="G23" i="288" s="1"/>
  <c r="G22" i="288" s="1"/>
  <c r="C23" i="288"/>
  <c r="E23" i="287"/>
  <c r="G23" i="287" s="1"/>
  <c r="G22" i="287" s="1"/>
  <c r="C23" i="287"/>
  <c r="G21" i="287"/>
  <c r="C23" i="286"/>
  <c r="G62" i="290" l="1"/>
  <c r="K56" i="291"/>
  <c r="G59" i="290"/>
  <c r="H59" i="290" s="1"/>
  <c r="K53" i="291"/>
  <c r="K51" i="291" s="1"/>
  <c r="E17" i="1"/>
  <c r="H22" i="276"/>
  <c r="G17" i="1"/>
  <c r="H17" i="1" s="1"/>
  <c r="F17" i="1"/>
  <c r="G58" i="290"/>
  <c r="H58" i="290" s="1"/>
  <c r="G60" i="290"/>
  <c r="H60" i="290" s="1"/>
  <c r="G61" i="290"/>
  <c r="H61" i="290" s="1"/>
  <c r="H23" i="289"/>
  <c r="H22" i="289" s="1"/>
  <c r="H62" i="290"/>
  <c r="H23" i="290"/>
  <c r="H22" i="290" s="1"/>
  <c r="H23" i="284"/>
  <c r="H22" i="284" s="1"/>
  <c r="H23" i="285"/>
  <c r="H22" i="285" s="1"/>
  <c r="H23" i="288"/>
  <c r="H22" i="288" s="1"/>
  <c r="H23" i="287"/>
  <c r="H22" i="287" s="1"/>
  <c r="H21" i="287"/>
  <c r="I17" i="1" l="1"/>
  <c r="E57" i="290" l="1"/>
  <c r="E72" i="290"/>
  <c r="K66" i="291" s="1"/>
  <c r="E71" i="290"/>
  <c r="K65" i="291" s="1"/>
  <c r="E70" i="290"/>
  <c r="K64" i="291" s="1"/>
  <c r="E69" i="290"/>
  <c r="K63" i="291" s="1"/>
  <c r="E67" i="290"/>
  <c r="K61" i="291" s="1"/>
  <c r="E66" i="290"/>
  <c r="K60" i="291" s="1"/>
  <c r="E65" i="290"/>
  <c r="K59" i="291" s="1"/>
  <c r="E64" i="290"/>
  <c r="K58" i="291" s="1"/>
  <c r="E18" i="290"/>
  <c r="E72" i="285"/>
  <c r="E71" i="285"/>
  <c r="E70" i="285"/>
  <c r="E69" i="285"/>
  <c r="E67" i="285"/>
  <c r="E66" i="285"/>
  <c r="E65" i="285"/>
  <c r="E64" i="285"/>
  <c r="E62" i="285"/>
  <c r="E61" i="285"/>
  <c r="E60" i="285"/>
  <c r="E59" i="285"/>
  <c r="E58" i="285"/>
  <c r="E18" i="285"/>
  <c r="E72" i="288"/>
  <c r="E71" i="288"/>
  <c r="E70" i="288"/>
  <c r="H109" i="278"/>
  <c r="E69" i="288" s="1"/>
  <c r="E65" i="288"/>
  <c r="E67" i="288"/>
  <c r="E66" i="288"/>
  <c r="E64" i="288"/>
  <c r="E62" i="288"/>
  <c r="E61" i="288"/>
  <c r="E60" i="288"/>
  <c r="E59" i="288"/>
  <c r="E58" i="288"/>
  <c r="E18" i="288"/>
  <c r="E72" i="287"/>
  <c r="E71" i="287"/>
  <c r="E70" i="287"/>
  <c r="E69" i="287"/>
  <c r="E67" i="287"/>
  <c r="E66" i="287"/>
  <c r="E65" i="287"/>
  <c r="E64" i="287"/>
  <c r="E62" i="287"/>
  <c r="E61" i="287"/>
  <c r="E60" i="287"/>
  <c r="E59" i="287"/>
  <c r="E58" i="287"/>
  <c r="E61" i="286"/>
  <c r="E59" i="286"/>
  <c r="E58" i="286"/>
  <c r="K62" i="291" l="1"/>
  <c r="K103" i="291" s="1"/>
  <c r="K57" i="291"/>
  <c r="K102" i="291" s="1"/>
  <c r="E63" i="288"/>
  <c r="E63" i="290"/>
  <c r="E68" i="290"/>
  <c r="G68" i="290" s="1"/>
  <c r="H68" i="290" s="1"/>
  <c r="E18" i="289"/>
  <c r="E60" i="289"/>
  <c r="M54" i="291" s="1"/>
  <c r="E61" i="289"/>
  <c r="M55" i="291" s="1"/>
  <c r="E62" i="289"/>
  <c r="M56" i="291" s="1"/>
  <c r="E58" i="289"/>
  <c r="M52" i="291" s="1"/>
  <c r="E59" i="289"/>
  <c r="M53" i="291" s="1"/>
  <c r="E64" i="289"/>
  <c r="M58" i="291" s="1"/>
  <c r="M57" i="291" s="1"/>
  <c r="M102" i="291" s="1"/>
  <c r="E66" i="289"/>
  <c r="M60" i="291" s="1"/>
  <c r="E67" i="289"/>
  <c r="M61" i="291" s="1"/>
  <c r="E65" i="289"/>
  <c r="M59" i="291" s="1"/>
  <c r="E69" i="289"/>
  <c r="M63" i="291" s="1"/>
  <c r="E71" i="289"/>
  <c r="M65" i="291" s="1"/>
  <c r="E72" i="289"/>
  <c r="M66" i="291" s="1"/>
  <c r="E70" i="289"/>
  <c r="M64" i="291" s="1"/>
  <c r="G71" i="290"/>
  <c r="H71" i="290" s="1"/>
  <c r="G72" i="290"/>
  <c r="H72" i="290" s="1"/>
  <c r="G69" i="290"/>
  <c r="H69" i="290" s="1"/>
  <c r="G70" i="290"/>
  <c r="H70" i="290" s="1"/>
  <c r="G66" i="290"/>
  <c r="H66" i="290" s="1"/>
  <c r="G67" i="290"/>
  <c r="H67" i="290" s="1"/>
  <c r="G65" i="290"/>
  <c r="H65" i="290" s="1"/>
  <c r="G63" i="290"/>
  <c r="H63" i="290" s="1"/>
  <c r="G64" i="290"/>
  <c r="H64" i="290" s="1"/>
  <c r="G57" i="290"/>
  <c r="H57" i="290" s="1"/>
  <c r="G18" i="290"/>
  <c r="H18" i="290" s="1"/>
  <c r="G19" i="290"/>
  <c r="H19" i="290" s="1"/>
  <c r="E57" i="284"/>
  <c r="E63" i="284"/>
  <c r="G63" i="284" s="1"/>
  <c r="H63" i="284" s="1"/>
  <c r="I60" i="291"/>
  <c r="G66" i="284"/>
  <c r="H66" i="284" s="1"/>
  <c r="G69" i="284"/>
  <c r="H69" i="284" s="1"/>
  <c r="I63" i="291"/>
  <c r="G71" i="284"/>
  <c r="H71" i="284" s="1"/>
  <c r="I65" i="291"/>
  <c r="I53" i="291"/>
  <c r="G59" i="284"/>
  <c r="H59" i="284" s="1"/>
  <c r="G67" i="284"/>
  <c r="H67" i="284" s="1"/>
  <c r="I61" i="291"/>
  <c r="I54" i="291"/>
  <c r="G60" i="284"/>
  <c r="H60" i="284" s="1"/>
  <c r="G72" i="284"/>
  <c r="H72" i="284" s="1"/>
  <c r="I66" i="291"/>
  <c r="I55" i="291"/>
  <c r="G61" i="284"/>
  <c r="H61" i="284" s="1"/>
  <c r="E68" i="284"/>
  <c r="G68" i="284" s="1"/>
  <c r="H68" i="284" s="1"/>
  <c r="I52" i="291"/>
  <c r="G58" i="284"/>
  <c r="H58" i="284" s="1"/>
  <c r="G62" i="284"/>
  <c r="H62" i="284" s="1"/>
  <c r="I56" i="291"/>
  <c r="I58" i="291"/>
  <c r="G64" i="284"/>
  <c r="H64" i="284" s="1"/>
  <c r="G70" i="284"/>
  <c r="H70" i="284" s="1"/>
  <c r="I64" i="291"/>
  <c r="G65" i="284"/>
  <c r="H65" i="284" s="1"/>
  <c r="I59" i="291"/>
  <c r="G18" i="284"/>
  <c r="H18" i="284" s="1"/>
  <c r="E17" i="284"/>
  <c r="E68" i="285"/>
  <c r="G68" i="285" s="1"/>
  <c r="H68" i="285" s="1"/>
  <c r="E17" i="285"/>
  <c r="G17" i="285" s="1"/>
  <c r="H17" i="285" s="1"/>
  <c r="G67" i="285"/>
  <c r="H67" i="285" s="1"/>
  <c r="H61" i="291"/>
  <c r="G69" i="285"/>
  <c r="H69" i="285" s="1"/>
  <c r="H63" i="291"/>
  <c r="G62" i="285"/>
  <c r="H62" i="285" s="1"/>
  <c r="H56" i="291"/>
  <c r="G70" i="285"/>
  <c r="H70" i="285" s="1"/>
  <c r="H64" i="291"/>
  <c r="H55" i="291"/>
  <c r="G61" i="285"/>
  <c r="H61" i="285" s="1"/>
  <c r="G64" i="285"/>
  <c r="H64" i="285" s="1"/>
  <c r="H58" i="291"/>
  <c r="G71" i="285"/>
  <c r="H71" i="285" s="1"/>
  <c r="H65" i="291"/>
  <c r="G58" i="285"/>
  <c r="H58" i="285" s="1"/>
  <c r="H52" i="291"/>
  <c r="G72" i="285"/>
  <c r="H72" i="285" s="1"/>
  <c r="H66" i="291"/>
  <c r="G66" i="285"/>
  <c r="H66" i="285" s="1"/>
  <c r="H60" i="291"/>
  <c r="G59" i="285"/>
  <c r="H59" i="285" s="1"/>
  <c r="H53" i="291"/>
  <c r="E57" i="285"/>
  <c r="H59" i="291"/>
  <c r="G65" i="285"/>
  <c r="H65" i="285" s="1"/>
  <c r="G60" i="285"/>
  <c r="H60" i="285" s="1"/>
  <c r="H54" i="291"/>
  <c r="E63" i="285"/>
  <c r="G21" i="285"/>
  <c r="H21" i="285" s="1"/>
  <c r="G19" i="285"/>
  <c r="H19" i="285" s="1"/>
  <c r="G18" i="285"/>
  <c r="H18" i="285" s="1"/>
  <c r="E68" i="288"/>
  <c r="G68" i="288" s="1"/>
  <c r="H68" i="288" s="1"/>
  <c r="E17" i="288"/>
  <c r="G17" i="288" s="1"/>
  <c r="H17" i="288" s="1"/>
  <c r="G54" i="291"/>
  <c r="G60" i="288"/>
  <c r="H60" i="288" s="1"/>
  <c r="G59" i="288"/>
  <c r="H59" i="288" s="1"/>
  <c r="G53" i="291"/>
  <c r="G64" i="288"/>
  <c r="H64" i="288" s="1"/>
  <c r="G58" i="291"/>
  <c r="G56" i="291"/>
  <c r="G62" i="288"/>
  <c r="H62" i="288" s="1"/>
  <c r="G66" i="288"/>
  <c r="H66" i="288" s="1"/>
  <c r="G60" i="291"/>
  <c r="E57" i="288"/>
  <c r="G67" i="288"/>
  <c r="H67" i="288" s="1"/>
  <c r="G61" i="291"/>
  <c r="G63" i="288"/>
  <c r="H63" i="288" s="1"/>
  <c r="G65" i="288"/>
  <c r="H65" i="288" s="1"/>
  <c r="G59" i="291"/>
  <c r="G69" i="288"/>
  <c r="H69" i="288" s="1"/>
  <c r="G63" i="291"/>
  <c r="G70" i="288"/>
  <c r="H70" i="288" s="1"/>
  <c r="G64" i="291"/>
  <c r="G55" i="291"/>
  <c r="G61" i="288"/>
  <c r="H61" i="288" s="1"/>
  <c r="G65" i="291"/>
  <c r="G71" i="288"/>
  <c r="H71" i="288" s="1"/>
  <c r="G58" i="288"/>
  <c r="H58" i="288" s="1"/>
  <c r="G52" i="291"/>
  <c r="G66" i="291"/>
  <c r="G72" i="288"/>
  <c r="H72" i="288" s="1"/>
  <c r="G18" i="288"/>
  <c r="H18" i="288" s="1"/>
  <c r="G19" i="288"/>
  <c r="H19" i="288" s="1"/>
  <c r="G21" i="288"/>
  <c r="H21" i="288" s="1"/>
  <c r="E68" i="287"/>
  <c r="G68" i="287" s="1"/>
  <c r="H68" i="287" s="1"/>
  <c r="E57" i="287"/>
  <c r="G18" i="287"/>
  <c r="H18" i="287" s="1"/>
  <c r="F53" i="291"/>
  <c r="G59" i="287"/>
  <c r="H59" i="287" s="1"/>
  <c r="G65" i="287"/>
  <c r="H65" i="287" s="1"/>
  <c r="F59" i="291"/>
  <c r="G66" i="287"/>
  <c r="H66" i="287" s="1"/>
  <c r="F60" i="291"/>
  <c r="G60" i="287"/>
  <c r="H60" i="287" s="1"/>
  <c r="F54" i="291"/>
  <c r="F61" i="291"/>
  <c r="G67" i="287"/>
  <c r="H67" i="287" s="1"/>
  <c r="G19" i="287"/>
  <c r="H19" i="287" s="1"/>
  <c r="G62" i="287"/>
  <c r="H62" i="287" s="1"/>
  <c r="F56" i="291"/>
  <c r="G64" i="287"/>
  <c r="H64" i="287" s="1"/>
  <c r="F58" i="291"/>
  <c r="G69" i="287"/>
  <c r="H69" i="287" s="1"/>
  <c r="F63" i="291"/>
  <c r="G70" i="287"/>
  <c r="H70" i="287" s="1"/>
  <c r="F64" i="291"/>
  <c r="G61" i="287"/>
  <c r="H61" i="287" s="1"/>
  <c r="F55" i="291"/>
  <c r="E63" i="287"/>
  <c r="F65" i="291"/>
  <c r="G71" i="287"/>
  <c r="H71" i="287" s="1"/>
  <c r="G58" i="287"/>
  <c r="H58" i="287" s="1"/>
  <c r="F52" i="291"/>
  <c r="F66" i="291"/>
  <c r="G72" i="287"/>
  <c r="H72" i="287" s="1"/>
  <c r="G58" i="286"/>
  <c r="H58" i="286" s="1"/>
  <c r="E52" i="291"/>
  <c r="E60" i="286"/>
  <c r="E53" i="291"/>
  <c r="G59" i="286"/>
  <c r="H59" i="286" s="1"/>
  <c r="E55" i="291"/>
  <c r="G61" i="286"/>
  <c r="H61" i="286" s="1"/>
  <c r="E72" i="286"/>
  <c r="E71" i="286"/>
  <c r="E70" i="286"/>
  <c r="H110" i="276"/>
  <c r="E67" i="286"/>
  <c r="E66" i="286"/>
  <c r="E65" i="286"/>
  <c r="E64" i="286"/>
  <c r="M62" i="291" l="1"/>
  <c r="M103" i="291" s="1"/>
  <c r="M51" i="291"/>
  <c r="K70" i="291"/>
  <c r="G57" i="284"/>
  <c r="H57" i="284" s="1"/>
  <c r="G57" i="287"/>
  <c r="H57" i="287" s="1"/>
  <c r="E17" i="286"/>
  <c r="E69" i="286"/>
  <c r="H115" i="276"/>
  <c r="G18" i="289"/>
  <c r="H18" i="289" s="1"/>
  <c r="F18" i="298"/>
  <c r="G18" i="298"/>
  <c r="H18" i="298" s="1"/>
  <c r="Q53" i="291"/>
  <c r="S53" i="291" s="1"/>
  <c r="T53" i="291" s="1"/>
  <c r="G59" i="289"/>
  <c r="H59" i="289" s="1"/>
  <c r="G58" i="289"/>
  <c r="H58" i="289" s="1"/>
  <c r="E57" i="289"/>
  <c r="G58" i="298"/>
  <c r="H58" i="298" s="1"/>
  <c r="E57" i="298"/>
  <c r="F58" i="298"/>
  <c r="F59" i="298"/>
  <c r="G59" i="298"/>
  <c r="G62" i="289"/>
  <c r="H62" i="289" s="1"/>
  <c r="G62" i="298"/>
  <c r="H62" i="298" s="1"/>
  <c r="F62" i="298"/>
  <c r="G61" i="289"/>
  <c r="H61" i="289" s="1"/>
  <c r="Q55" i="291"/>
  <c r="S55" i="291" s="1"/>
  <c r="T55" i="291" s="1"/>
  <c r="G61" i="298"/>
  <c r="F61" i="298"/>
  <c r="G60" i="289"/>
  <c r="H60" i="289" s="1"/>
  <c r="F60" i="298"/>
  <c r="G60" i="298"/>
  <c r="H60" i="298" s="1"/>
  <c r="G65" i="289"/>
  <c r="H65" i="289" s="1"/>
  <c r="G65" i="298"/>
  <c r="F65" i="298"/>
  <c r="G67" i="289"/>
  <c r="H67" i="289" s="1"/>
  <c r="F67" i="298"/>
  <c r="G67" i="298"/>
  <c r="G66" i="289"/>
  <c r="H66" i="289" s="1"/>
  <c r="E63" i="298"/>
  <c r="G66" i="298"/>
  <c r="F66" i="298"/>
  <c r="G64" i="289"/>
  <c r="H64" i="289" s="1"/>
  <c r="E63" i="289"/>
  <c r="G64" i="298"/>
  <c r="H64" i="298" s="1"/>
  <c r="F64" i="298"/>
  <c r="G70" i="289"/>
  <c r="H70" i="289" s="1"/>
  <c r="G70" i="298"/>
  <c r="H70" i="298" s="1"/>
  <c r="F70" i="298"/>
  <c r="G72" i="289"/>
  <c r="H72" i="289" s="1"/>
  <c r="F72" i="298"/>
  <c r="G72" i="298"/>
  <c r="H72" i="298" s="1"/>
  <c r="G71" i="289"/>
  <c r="H71" i="289" s="1"/>
  <c r="G71" i="298"/>
  <c r="F71" i="298"/>
  <c r="G69" i="289"/>
  <c r="H69" i="289" s="1"/>
  <c r="E68" i="289"/>
  <c r="G69" i="298"/>
  <c r="E68" i="298"/>
  <c r="F69" i="298"/>
  <c r="G17" i="284"/>
  <c r="H17" i="284" s="1"/>
  <c r="G57" i="285"/>
  <c r="H57" i="285" s="1"/>
  <c r="G63" i="285"/>
  <c r="H63" i="285" s="1"/>
  <c r="G57" i="288"/>
  <c r="H57" i="288" s="1"/>
  <c r="G17" i="287"/>
  <c r="H17" i="287" s="1"/>
  <c r="G63" i="287"/>
  <c r="H63" i="287" s="1"/>
  <c r="E147" i="1"/>
  <c r="E54" i="291"/>
  <c r="G60" i="286"/>
  <c r="H60" i="286" s="1"/>
  <c r="E60" i="291"/>
  <c r="G66" i="286"/>
  <c r="H66" i="286" s="1"/>
  <c r="E63" i="291"/>
  <c r="G69" i="286"/>
  <c r="H69" i="286" s="1"/>
  <c r="E68" i="286"/>
  <c r="E64" i="291"/>
  <c r="G70" i="286"/>
  <c r="H70" i="286" s="1"/>
  <c r="E66" i="291"/>
  <c r="G72" i="286"/>
  <c r="H72" i="286" s="1"/>
  <c r="E58" i="291"/>
  <c r="G64" i="286"/>
  <c r="H64" i="286" s="1"/>
  <c r="E63" i="286"/>
  <c r="G67" i="286"/>
  <c r="H67" i="286" s="1"/>
  <c r="E61" i="291"/>
  <c r="G71" i="286"/>
  <c r="H71" i="286" s="1"/>
  <c r="E65" i="291"/>
  <c r="G65" i="286"/>
  <c r="H65" i="286" s="1"/>
  <c r="E59" i="291"/>
  <c r="G21" i="286"/>
  <c r="H21" i="286" s="1"/>
  <c r="E148" i="1"/>
  <c r="G19" i="286"/>
  <c r="H19" i="286" s="1"/>
  <c r="G18" i="286"/>
  <c r="H18" i="286" s="1"/>
  <c r="G17" i="286"/>
  <c r="H17" i="286" s="1"/>
  <c r="E62" i="286"/>
  <c r="M70" i="291" l="1"/>
  <c r="E149" i="1"/>
  <c r="Q64" i="291"/>
  <c r="S64" i="291" s="1"/>
  <c r="T64" i="291" s="1"/>
  <c r="I59" i="298"/>
  <c r="I65" i="298"/>
  <c r="I66" i="298"/>
  <c r="I71" i="298"/>
  <c r="I61" i="298"/>
  <c r="Q54" i="291"/>
  <c r="S54" i="291" s="1"/>
  <c r="T54" i="291" s="1"/>
  <c r="Q60" i="291"/>
  <c r="S60" i="291" s="1"/>
  <c r="T60" i="291" s="1"/>
  <c r="Q61" i="291"/>
  <c r="S61" i="291" s="1"/>
  <c r="T61" i="291" s="1"/>
  <c r="Q66" i="291"/>
  <c r="S66" i="291" s="1"/>
  <c r="T66" i="291" s="1"/>
  <c r="I18" i="298"/>
  <c r="Q59" i="291"/>
  <c r="S59" i="291" s="1"/>
  <c r="T59" i="291" s="1"/>
  <c r="Q65" i="291"/>
  <c r="S65" i="291" s="1"/>
  <c r="T65" i="291" s="1"/>
  <c r="I67" i="298"/>
  <c r="I60" i="298"/>
  <c r="H59" i="298"/>
  <c r="I62" i="298"/>
  <c r="I58" i="298"/>
  <c r="G57" i="289"/>
  <c r="H57" i="289" s="1"/>
  <c r="F57" i="298"/>
  <c r="G57" i="298"/>
  <c r="H61" i="298"/>
  <c r="G63" i="289"/>
  <c r="H63" i="289" s="1"/>
  <c r="H66" i="298"/>
  <c r="H67" i="298"/>
  <c r="G63" i="298"/>
  <c r="H63" i="298" s="1"/>
  <c r="N94" i="298"/>
  <c r="E79" i="298"/>
  <c r="N73" i="291" s="1"/>
  <c r="F63" i="298"/>
  <c r="H65" i="298"/>
  <c r="I64" i="298"/>
  <c r="F68" i="298"/>
  <c r="G68" i="298"/>
  <c r="H68" i="298" s="1"/>
  <c r="E76" i="298"/>
  <c r="N95" i="298"/>
  <c r="I69" i="298"/>
  <c r="I70" i="298"/>
  <c r="H71" i="298"/>
  <c r="G68" i="289"/>
  <c r="H68" i="289" s="1"/>
  <c r="H69" i="298"/>
  <c r="I72" i="298"/>
  <c r="G62" i="286"/>
  <c r="H62" i="286" s="1"/>
  <c r="E57" i="286"/>
  <c r="G63" i="286"/>
  <c r="H63" i="286" s="1"/>
  <c r="G68" i="286"/>
  <c r="H68" i="286" s="1"/>
  <c r="D18" i="280"/>
  <c r="D19" i="280"/>
  <c r="D20" i="280"/>
  <c r="D21" i="280"/>
  <c r="D22" i="280"/>
  <c r="D23" i="280"/>
  <c r="D24" i="280"/>
  <c r="D25" i="280"/>
  <c r="D26" i="280"/>
  <c r="D101" i="279"/>
  <c r="D102" i="279"/>
  <c r="D103" i="279"/>
  <c r="D104" i="279"/>
  <c r="D105" i="279"/>
  <c r="D106" i="279"/>
  <c r="D107" i="279"/>
  <c r="D108" i="279"/>
  <c r="D109" i="279"/>
  <c r="D110" i="279"/>
  <c r="D111" i="279"/>
  <c r="D29" i="279"/>
  <c r="D30" i="279"/>
  <c r="D31" i="279"/>
  <c r="D32" i="279"/>
  <c r="D33" i="279"/>
  <c r="D34" i="279"/>
  <c r="D35" i="279"/>
  <c r="D36" i="279"/>
  <c r="D37" i="279"/>
  <c r="D38" i="279"/>
  <c r="D39" i="279"/>
  <c r="D55" i="279"/>
  <c r="D56" i="279"/>
  <c r="D57" i="279"/>
  <c r="D58" i="279"/>
  <c r="D59" i="279"/>
  <c r="D60" i="279"/>
  <c r="D61" i="279"/>
  <c r="D62" i="279"/>
  <c r="D63" i="279"/>
  <c r="D64" i="279"/>
  <c r="D65" i="279"/>
  <c r="D66" i="279"/>
  <c r="D67" i="279"/>
  <c r="D68" i="279"/>
  <c r="D69" i="279"/>
  <c r="D70" i="279"/>
  <c r="D71" i="279"/>
  <c r="D72" i="279"/>
  <c r="D73" i="279"/>
  <c r="D74" i="279"/>
  <c r="D75" i="279"/>
  <c r="D76" i="279"/>
  <c r="D77" i="279"/>
  <c r="D78" i="279"/>
  <c r="D79" i="279"/>
  <c r="D80" i="279"/>
  <c r="D81" i="279"/>
  <c r="D82" i="279"/>
  <c r="D83" i="279"/>
  <c r="D84" i="279"/>
  <c r="D85" i="279"/>
  <c r="D86" i="279"/>
  <c r="D87" i="279"/>
  <c r="D88" i="279"/>
  <c r="D89" i="279"/>
  <c r="D90" i="279"/>
  <c r="D91" i="279"/>
  <c r="D92" i="279"/>
  <c r="D93" i="279"/>
  <c r="D94" i="279"/>
  <c r="D95" i="279"/>
  <c r="D96" i="279"/>
  <c r="D97" i="279"/>
  <c r="D18" i="279"/>
  <c r="D19" i="279"/>
  <c r="D20" i="279"/>
  <c r="D21" i="279"/>
  <c r="D22" i="279"/>
  <c r="D23" i="279"/>
  <c r="D24" i="279"/>
  <c r="D25" i="279"/>
  <c r="D26" i="279"/>
  <c r="D27" i="279"/>
  <c r="D95" i="278"/>
  <c r="D96" i="278"/>
  <c r="D97" i="278"/>
  <c r="D98" i="278"/>
  <c r="D99" i="278"/>
  <c r="D100" i="278"/>
  <c r="D101" i="278"/>
  <c r="D102" i="278"/>
  <c r="D103" i="278"/>
  <c r="D104" i="278"/>
  <c r="D105" i="278"/>
  <c r="D106" i="278"/>
  <c r="D24" i="278"/>
  <c r="D25" i="278"/>
  <c r="D26" i="278"/>
  <c r="D27" i="278"/>
  <c r="D28" i="278"/>
  <c r="D29" i="278"/>
  <c r="D30" i="278"/>
  <c r="D31" i="278"/>
  <c r="D32" i="278"/>
  <c r="D33" i="278"/>
  <c r="D34" i="278"/>
  <c r="D35" i="278"/>
  <c r="D51" i="278"/>
  <c r="D52" i="278"/>
  <c r="D53" i="278"/>
  <c r="D54" i="278"/>
  <c r="D55" i="278"/>
  <c r="D56" i="278"/>
  <c r="D57" i="278"/>
  <c r="D58" i="278"/>
  <c r="D59" i="278"/>
  <c r="D60" i="278"/>
  <c r="D61" i="278"/>
  <c r="D62" i="278"/>
  <c r="D63" i="278"/>
  <c r="D64" i="278"/>
  <c r="D65" i="278"/>
  <c r="D66" i="278"/>
  <c r="D67" i="278"/>
  <c r="D68" i="278"/>
  <c r="D69" i="278"/>
  <c r="D70" i="278"/>
  <c r="D71" i="278"/>
  <c r="D72" i="278"/>
  <c r="D73" i="278"/>
  <c r="D74" i="278"/>
  <c r="D75" i="278"/>
  <c r="D76" i="278"/>
  <c r="D77" i="278"/>
  <c r="D78" i="278"/>
  <c r="D79" i="278"/>
  <c r="D80" i="278"/>
  <c r="D81" i="278"/>
  <c r="D82" i="278"/>
  <c r="D83" i="278"/>
  <c r="D84" i="278"/>
  <c r="D85" i="278"/>
  <c r="D86" i="278"/>
  <c r="D87" i="278"/>
  <c r="D88" i="278"/>
  <c r="D89" i="278"/>
  <c r="D90" i="278"/>
  <c r="D91" i="278"/>
  <c r="D18" i="278"/>
  <c r="D19" i="278"/>
  <c r="D20" i="278"/>
  <c r="D21" i="278"/>
  <c r="D22" i="278"/>
  <c r="E86" i="298" l="1"/>
  <c r="E83" i="298"/>
  <c r="N72" i="291"/>
  <c r="N77" i="291"/>
  <c r="N80" i="291"/>
  <c r="N78" i="291"/>
  <c r="E84" i="298"/>
  <c r="D49" i="278"/>
  <c r="I57" i="298"/>
  <c r="D53" i="279"/>
  <c r="H57" i="298"/>
  <c r="H76" i="298" s="1"/>
  <c r="I63" i="298"/>
  <c r="F79" i="298"/>
  <c r="F78" i="298" s="1"/>
  <c r="E78" i="298"/>
  <c r="G79" i="298"/>
  <c r="H79" i="298" s="1"/>
  <c r="H78" i="298" s="1"/>
  <c r="F76" i="298"/>
  <c r="I68" i="298"/>
  <c r="G76" i="298"/>
  <c r="E44" i="298"/>
  <c r="N38" i="291" s="1"/>
  <c r="E43" i="298"/>
  <c r="N37" i="291" s="1"/>
  <c r="N31" i="291" s="1"/>
  <c r="N81" i="291" s="1"/>
  <c r="G57" i="286"/>
  <c r="H57" i="286" s="1"/>
  <c r="A4" i="281"/>
  <c r="A4" i="282"/>
  <c r="A4" i="280"/>
  <c r="A4" i="279"/>
  <c r="A4" i="278"/>
  <c r="A4" i="277"/>
  <c r="A4" i="276"/>
  <c r="F7" i="289"/>
  <c r="E7" i="289"/>
  <c r="A5" i="289"/>
  <c r="H1" i="289"/>
  <c r="F7" i="290"/>
  <c r="E7" i="290"/>
  <c r="A5" i="290"/>
  <c r="H1" i="290"/>
  <c r="F7" i="284"/>
  <c r="E7" i="284"/>
  <c r="A5" i="284"/>
  <c r="H1" i="284"/>
  <c r="F7" i="285"/>
  <c r="E7" i="285"/>
  <c r="A5" i="285"/>
  <c r="H1" i="285"/>
  <c r="F7" i="288"/>
  <c r="E7" i="288"/>
  <c r="A5" i="288"/>
  <c r="H1" i="288"/>
  <c r="F7" i="287"/>
  <c r="F20" i="287" s="1"/>
  <c r="I20" i="287" s="1"/>
  <c r="E7" i="287"/>
  <c r="A5" i="287"/>
  <c r="H1" i="287"/>
  <c r="H1" i="286"/>
  <c r="A5" i="286"/>
  <c r="F7" i="286"/>
  <c r="F20" i="286" s="1"/>
  <c r="I20" i="286" s="1"/>
  <c r="E7" i="286"/>
  <c r="T1" i="291"/>
  <c r="R6" i="291"/>
  <c r="E6" i="291"/>
  <c r="D25" i="276"/>
  <c r="D26" i="276"/>
  <c r="D27" i="276"/>
  <c r="D28" i="276"/>
  <c r="D29" i="276"/>
  <c r="D30" i="276"/>
  <c r="D31" i="276"/>
  <c r="D32" i="276"/>
  <c r="D33" i="276"/>
  <c r="D34" i="276"/>
  <c r="D35" i="276"/>
  <c r="D36" i="276"/>
  <c r="D37" i="276"/>
  <c r="D53" i="276"/>
  <c r="D54" i="276"/>
  <c r="D55" i="276"/>
  <c r="D56" i="276"/>
  <c r="D57" i="276"/>
  <c r="D58" i="276"/>
  <c r="D59" i="276"/>
  <c r="D60" i="276"/>
  <c r="D61" i="276"/>
  <c r="D62" i="276"/>
  <c r="D63" i="276"/>
  <c r="D64" i="276"/>
  <c r="D65" i="276"/>
  <c r="D66" i="276"/>
  <c r="D67" i="276"/>
  <c r="D68" i="276"/>
  <c r="D69" i="276"/>
  <c r="D70" i="276"/>
  <c r="D71" i="276"/>
  <c r="D72" i="276"/>
  <c r="D17" i="276"/>
  <c r="D18" i="276"/>
  <c r="D19" i="276"/>
  <c r="D20" i="276"/>
  <c r="D21" i="276"/>
  <c r="D22" i="276"/>
  <c r="D23" i="276"/>
  <c r="I41" i="291"/>
  <c r="P41" i="291"/>
  <c r="C9" i="281"/>
  <c r="C9" i="282"/>
  <c r="C9" i="280"/>
  <c r="C9" i="279"/>
  <c r="C9" i="278"/>
  <c r="C9" i="277"/>
  <c r="C9" i="276"/>
  <c r="H8" i="289"/>
  <c r="H8" i="290"/>
  <c r="H8" i="284"/>
  <c r="H8" i="285"/>
  <c r="H8" i="288"/>
  <c r="H8" i="287"/>
  <c r="H8" i="286"/>
  <c r="T7" i="291"/>
  <c r="F42" i="291"/>
  <c r="G42" i="291"/>
  <c r="I42" i="291"/>
  <c r="K42" i="291"/>
  <c r="D84" i="276"/>
  <c r="D83" i="276"/>
  <c r="N75" i="291" l="1"/>
  <c r="N83" i="291" s="1"/>
  <c r="N49" i="291"/>
  <c r="F19" i="284"/>
  <c r="I19" i="284" s="1"/>
  <c r="F20" i="284"/>
  <c r="I20" i="284" s="1"/>
  <c r="F21" i="284"/>
  <c r="I21" i="284" s="1"/>
  <c r="F21" i="290"/>
  <c r="I21" i="290" s="1"/>
  <c r="F20" i="290"/>
  <c r="I20" i="290" s="1"/>
  <c r="F19" i="289"/>
  <c r="I19" i="289" s="1"/>
  <c r="F21" i="289"/>
  <c r="I21" i="289" s="1"/>
  <c r="F20" i="289"/>
  <c r="I20" i="289" s="1"/>
  <c r="F20" i="288"/>
  <c r="I20" i="288" s="1"/>
  <c r="F20" i="285"/>
  <c r="I20" i="285" s="1"/>
  <c r="I76" i="298"/>
  <c r="F47" i="301"/>
  <c r="H47" i="301"/>
  <c r="P42" i="291"/>
  <c r="P40" i="291" s="1"/>
  <c r="P39" i="291" s="1"/>
  <c r="G78" i="298"/>
  <c r="I79" i="298"/>
  <c r="I78" i="298" s="1"/>
  <c r="H44" i="298"/>
  <c r="F44" i="298"/>
  <c r="G43" i="298"/>
  <c r="H43" i="298" s="1"/>
  <c r="F43" i="298"/>
  <c r="E46" i="293"/>
  <c r="E45" i="293" s="1"/>
  <c r="F41" i="291"/>
  <c r="F40" i="291" s="1"/>
  <c r="E46" i="287"/>
  <c r="F47" i="289"/>
  <c r="F48" i="293"/>
  <c r="G48" i="293"/>
  <c r="H47" i="293"/>
  <c r="F47" i="293"/>
  <c r="E41" i="291"/>
  <c r="K41" i="291"/>
  <c r="K40" i="291" s="1"/>
  <c r="K39" i="291" s="1"/>
  <c r="H47" i="285"/>
  <c r="H42" i="291"/>
  <c r="D15" i="276"/>
  <c r="F19" i="285"/>
  <c r="I19" i="285" s="1"/>
  <c r="F18" i="285"/>
  <c r="I18" i="285" s="1"/>
  <c r="F71" i="285"/>
  <c r="I71" i="285" s="1"/>
  <c r="F65" i="285"/>
  <c r="I65" i="285" s="1"/>
  <c r="F59" i="285"/>
  <c r="I59" i="285" s="1"/>
  <c r="F63" i="285"/>
  <c r="I63" i="285" s="1"/>
  <c r="F23" i="285"/>
  <c r="F70" i="285"/>
  <c r="I70" i="285" s="1"/>
  <c r="F64" i="285"/>
  <c r="I64" i="285" s="1"/>
  <c r="F58" i="285"/>
  <c r="I58" i="285" s="1"/>
  <c r="F69" i="285"/>
  <c r="I69" i="285" s="1"/>
  <c r="F68" i="285"/>
  <c r="I68" i="285" s="1"/>
  <c r="F62" i="285"/>
  <c r="I62" i="285" s="1"/>
  <c r="F57" i="285"/>
  <c r="I57" i="285" s="1"/>
  <c r="F61" i="285"/>
  <c r="I61" i="285" s="1"/>
  <c r="F67" i="285"/>
  <c r="I67" i="285" s="1"/>
  <c r="F21" i="285"/>
  <c r="I21" i="285" s="1"/>
  <c r="F17" i="285"/>
  <c r="I17" i="285" s="1"/>
  <c r="F72" i="285"/>
  <c r="I72" i="285" s="1"/>
  <c r="F66" i="285"/>
  <c r="I66" i="285" s="1"/>
  <c r="F60" i="285"/>
  <c r="I60" i="285" s="1"/>
  <c r="F68" i="284"/>
  <c r="I68" i="284" s="1"/>
  <c r="F62" i="284"/>
  <c r="I62" i="284" s="1"/>
  <c r="F23" i="284"/>
  <c r="F67" i="284"/>
  <c r="I67" i="284" s="1"/>
  <c r="F59" i="284"/>
  <c r="I59" i="284" s="1"/>
  <c r="F61" i="284"/>
  <c r="I61" i="284" s="1"/>
  <c r="F65" i="284"/>
  <c r="I65" i="284" s="1"/>
  <c r="F72" i="284"/>
  <c r="I72" i="284" s="1"/>
  <c r="F66" i="284"/>
  <c r="I66" i="284" s="1"/>
  <c r="F60" i="284"/>
  <c r="I60" i="284" s="1"/>
  <c r="F18" i="284"/>
  <c r="I18" i="284" s="1"/>
  <c r="F70" i="284"/>
  <c r="I70" i="284" s="1"/>
  <c r="F64" i="284"/>
  <c r="I64" i="284" s="1"/>
  <c r="F58" i="284"/>
  <c r="I58" i="284" s="1"/>
  <c r="F17" i="284"/>
  <c r="I17" i="284" s="1"/>
  <c r="F71" i="284"/>
  <c r="I71" i="284" s="1"/>
  <c r="F69" i="284"/>
  <c r="I69" i="284" s="1"/>
  <c r="F63" i="284"/>
  <c r="I63" i="284" s="1"/>
  <c r="F57" i="284"/>
  <c r="I57" i="284" s="1"/>
  <c r="F67" i="289"/>
  <c r="I67" i="289" s="1"/>
  <c r="F61" i="289"/>
  <c r="I61" i="289" s="1"/>
  <c r="F60" i="289"/>
  <c r="I60" i="289" s="1"/>
  <c r="F64" i="289"/>
  <c r="I64" i="289" s="1"/>
  <c r="F58" i="289"/>
  <c r="I58" i="289" s="1"/>
  <c r="F72" i="289"/>
  <c r="I72" i="289" s="1"/>
  <c r="F65" i="289"/>
  <c r="I65" i="289" s="1"/>
  <c r="F59" i="289"/>
  <c r="I59" i="289" s="1"/>
  <c r="F18" i="289"/>
  <c r="I18" i="289" s="1"/>
  <c r="F71" i="289"/>
  <c r="I71" i="289" s="1"/>
  <c r="F70" i="289"/>
  <c r="I70" i="289" s="1"/>
  <c r="F69" i="289"/>
  <c r="I69" i="289" s="1"/>
  <c r="F63" i="289"/>
  <c r="I63" i="289" s="1"/>
  <c r="F57" i="289"/>
  <c r="I57" i="289" s="1"/>
  <c r="F68" i="289"/>
  <c r="I68" i="289" s="1"/>
  <c r="F62" i="289"/>
  <c r="I62" i="289" s="1"/>
  <c r="F23" i="289"/>
  <c r="F66" i="289"/>
  <c r="I66" i="289" s="1"/>
  <c r="F69" i="288"/>
  <c r="I69" i="288" s="1"/>
  <c r="F63" i="288"/>
  <c r="I63" i="288" s="1"/>
  <c r="F58" i="288"/>
  <c r="I58" i="288" s="1"/>
  <c r="F18" i="288"/>
  <c r="I18" i="288" s="1"/>
  <c r="F57" i="288"/>
  <c r="I57" i="288" s="1"/>
  <c r="F62" i="288"/>
  <c r="I62" i="288" s="1"/>
  <c r="F66" i="288"/>
  <c r="I66" i="288" s="1"/>
  <c r="F67" i="288"/>
  <c r="I67" i="288" s="1"/>
  <c r="F17" i="288"/>
  <c r="I17" i="288" s="1"/>
  <c r="F72" i="288"/>
  <c r="I72" i="288" s="1"/>
  <c r="F71" i="288"/>
  <c r="I71" i="288" s="1"/>
  <c r="F65" i="288"/>
  <c r="I65" i="288" s="1"/>
  <c r="F60" i="288"/>
  <c r="I60" i="288" s="1"/>
  <c r="F21" i="288"/>
  <c r="I21" i="288" s="1"/>
  <c r="F61" i="288"/>
  <c r="I61" i="288" s="1"/>
  <c r="F70" i="288"/>
  <c r="I70" i="288" s="1"/>
  <c r="F64" i="288"/>
  <c r="I64" i="288" s="1"/>
  <c r="F59" i="288"/>
  <c r="I59" i="288" s="1"/>
  <c r="F19" i="288"/>
  <c r="I19" i="288" s="1"/>
  <c r="F23" i="288"/>
  <c r="F68" i="288"/>
  <c r="I68" i="288" s="1"/>
  <c r="F63" i="286"/>
  <c r="I63" i="286" s="1"/>
  <c r="F67" i="286"/>
  <c r="I67" i="286" s="1"/>
  <c r="F60" i="286"/>
  <c r="I60" i="286" s="1"/>
  <c r="F19" i="286"/>
  <c r="I19" i="286" s="1"/>
  <c r="F59" i="286"/>
  <c r="I59" i="286" s="1"/>
  <c r="F17" i="286"/>
  <c r="I17" i="286" s="1"/>
  <c r="F70" i="286"/>
  <c r="I70" i="286" s="1"/>
  <c r="F72" i="286"/>
  <c r="I72" i="286" s="1"/>
  <c r="F18" i="286"/>
  <c r="I18" i="286" s="1"/>
  <c r="F71" i="286"/>
  <c r="I71" i="286" s="1"/>
  <c r="F58" i="286"/>
  <c r="I58" i="286" s="1"/>
  <c r="F69" i="286"/>
  <c r="I69" i="286" s="1"/>
  <c r="F62" i="286"/>
  <c r="I62" i="286" s="1"/>
  <c r="F68" i="286"/>
  <c r="I68" i="286" s="1"/>
  <c r="F61" i="286"/>
  <c r="I61" i="286" s="1"/>
  <c r="F21" i="286"/>
  <c r="I21" i="286" s="1"/>
  <c r="F57" i="286"/>
  <c r="I57" i="286" s="1"/>
  <c r="F65" i="286"/>
  <c r="I65" i="286" s="1"/>
  <c r="F64" i="286"/>
  <c r="I64" i="286" s="1"/>
  <c r="F66" i="286"/>
  <c r="I66" i="286" s="1"/>
  <c r="F69" i="287"/>
  <c r="I69" i="287" s="1"/>
  <c r="F62" i="287"/>
  <c r="I62" i="287" s="1"/>
  <c r="F17" i="287"/>
  <c r="I17" i="287" s="1"/>
  <c r="F61" i="287"/>
  <c r="I61" i="287" s="1"/>
  <c r="F68" i="287"/>
  <c r="I68" i="287" s="1"/>
  <c r="F63" i="287"/>
  <c r="I63" i="287" s="1"/>
  <c r="F59" i="287"/>
  <c r="I59" i="287" s="1"/>
  <c r="F66" i="287"/>
  <c r="I66" i="287" s="1"/>
  <c r="F71" i="287"/>
  <c r="I71" i="287" s="1"/>
  <c r="F64" i="287"/>
  <c r="I64" i="287" s="1"/>
  <c r="F58" i="287"/>
  <c r="I58" i="287" s="1"/>
  <c r="F19" i="287"/>
  <c r="I19" i="287" s="1"/>
  <c r="F21" i="287"/>
  <c r="I21" i="287" s="1"/>
  <c r="F70" i="287"/>
  <c r="I70" i="287" s="1"/>
  <c r="F57" i="287"/>
  <c r="I57" i="287" s="1"/>
  <c r="F23" i="287"/>
  <c r="F18" i="287"/>
  <c r="I18" i="287" s="1"/>
  <c r="F72" i="287"/>
  <c r="I72" i="287" s="1"/>
  <c r="F67" i="287"/>
  <c r="I67" i="287" s="1"/>
  <c r="F60" i="287"/>
  <c r="I60" i="287" s="1"/>
  <c r="F65" i="287"/>
  <c r="I65" i="287" s="1"/>
  <c r="F70" i="290"/>
  <c r="I70" i="290" s="1"/>
  <c r="F64" i="290"/>
  <c r="I64" i="290" s="1"/>
  <c r="F58" i="290"/>
  <c r="I58" i="290" s="1"/>
  <c r="F18" i="290"/>
  <c r="I18" i="290" s="1"/>
  <c r="F63" i="290"/>
  <c r="I63" i="290" s="1"/>
  <c r="F57" i="290"/>
  <c r="I57" i="290" s="1"/>
  <c r="F68" i="290"/>
  <c r="I68" i="290" s="1"/>
  <c r="F62" i="290"/>
  <c r="I62" i="290" s="1"/>
  <c r="F23" i="290"/>
  <c r="F67" i="290"/>
  <c r="I67" i="290" s="1"/>
  <c r="F72" i="290"/>
  <c r="I72" i="290" s="1"/>
  <c r="F66" i="290"/>
  <c r="I66" i="290" s="1"/>
  <c r="F60" i="290"/>
  <c r="I60" i="290" s="1"/>
  <c r="F71" i="290"/>
  <c r="I71" i="290" s="1"/>
  <c r="F65" i="290"/>
  <c r="I65" i="290" s="1"/>
  <c r="F59" i="290"/>
  <c r="I59" i="290" s="1"/>
  <c r="F19" i="290"/>
  <c r="I19" i="290" s="1"/>
  <c r="F69" i="290"/>
  <c r="I69" i="290" s="1"/>
  <c r="F61" i="290"/>
  <c r="I61" i="290" s="1"/>
  <c r="R64" i="291"/>
  <c r="U64" i="291" s="1"/>
  <c r="R59" i="291"/>
  <c r="U59" i="291" s="1"/>
  <c r="R53" i="291"/>
  <c r="U53" i="291" s="1"/>
  <c r="R65" i="291"/>
  <c r="U65" i="291" s="1"/>
  <c r="R66" i="291"/>
  <c r="U66" i="291" s="1"/>
  <c r="R61" i="291"/>
  <c r="U61" i="291" s="1"/>
  <c r="R55" i="291"/>
  <c r="U55" i="291" s="1"/>
  <c r="R60" i="291"/>
  <c r="U60" i="291" s="1"/>
  <c r="R54" i="291"/>
  <c r="U54" i="291" s="1"/>
  <c r="I40" i="291"/>
  <c r="E46" i="284"/>
  <c r="G41" i="291"/>
  <c r="G40" i="291" s="1"/>
  <c r="F47" i="287"/>
  <c r="E42" i="291"/>
  <c r="H47" i="286"/>
  <c r="F47" i="286"/>
  <c r="F48" i="286"/>
  <c r="G48" i="286"/>
  <c r="H48" i="286" s="1"/>
  <c r="F48" i="289"/>
  <c r="E46" i="289"/>
  <c r="G48" i="289"/>
  <c r="F48" i="290"/>
  <c r="G48" i="290"/>
  <c r="H48" i="290" s="1"/>
  <c r="F47" i="284"/>
  <c r="F48" i="284"/>
  <c r="G48" i="284"/>
  <c r="F47" i="285"/>
  <c r="F48" i="288"/>
  <c r="F47" i="288"/>
  <c r="E46" i="288"/>
  <c r="G48" i="288"/>
  <c r="H47" i="288"/>
  <c r="F48" i="287"/>
  <c r="H47" i="287"/>
  <c r="G48" i="287"/>
  <c r="A6" i="290"/>
  <c r="A6" i="284"/>
  <c r="A6" i="285"/>
  <c r="A6" i="288"/>
  <c r="A6" i="287"/>
  <c r="A6" i="286"/>
  <c r="E132" i="1"/>
  <c r="F92" i="284"/>
  <c r="K86" i="291"/>
  <c r="K87" i="291" s="1"/>
  <c r="P86" i="291"/>
  <c r="P87" i="291" s="1"/>
  <c r="P48" i="291"/>
  <c r="P44" i="291" s="1"/>
  <c r="N88" i="291" l="1"/>
  <c r="I23" i="289"/>
  <c r="I22" i="289" s="1"/>
  <c r="F22" i="289"/>
  <c r="I23" i="287"/>
  <c r="I22" i="287" s="1"/>
  <c r="F22" i="287"/>
  <c r="I23" i="285"/>
  <c r="I22" i="285" s="1"/>
  <c r="F22" i="285"/>
  <c r="I23" i="288"/>
  <c r="I22" i="288" s="1"/>
  <c r="F22" i="288"/>
  <c r="I23" i="290"/>
  <c r="I22" i="290" s="1"/>
  <c r="F22" i="290"/>
  <c r="I23" i="284"/>
  <c r="I22" i="284" s="1"/>
  <c r="F22" i="284"/>
  <c r="E66" i="1"/>
  <c r="E65" i="1"/>
  <c r="E46" i="285"/>
  <c r="F48" i="285"/>
  <c r="F46" i="285" s="1"/>
  <c r="E50" i="301"/>
  <c r="F54" i="301"/>
  <c r="F50" i="301" s="1"/>
  <c r="H54" i="301"/>
  <c r="H50" i="301" s="1"/>
  <c r="F48" i="301"/>
  <c r="F46" i="301" s="1"/>
  <c r="F45" i="301" s="1"/>
  <c r="G48" i="301"/>
  <c r="H48" i="301" s="1"/>
  <c r="H46" i="301" s="1"/>
  <c r="H45" i="301" s="1"/>
  <c r="E46" i="301"/>
  <c r="E45" i="301" s="1"/>
  <c r="E93" i="301"/>
  <c r="H92" i="301"/>
  <c r="H93" i="301" s="1"/>
  <c r="F92" i="301"/>
  <c r="F93" i="301" s="1"/>
  <c r="I47" i="301"/>
  <c r="I43" i="298"/>
  <c r="I44" i="298"/>
  <c r="E46" i="290"/>
  <c r="F47" i="290"/>
  <c r="F46" i="290" s="1"/>
  <c r="Q42" i="291"/>
  <c r="R42" i="291" s="1"/>
  <c r="H41" i="291"/>
  <c r="H40" i="291" s="1"/>
  <c r="G48" i="285"/>
  <c r="I48" i="293"/>
  <c r="I47" i="286"/>
  <c r="G48" i="295"/>
  <c r="H48" i="295" s="1"/>
  <c r="F48" i="295"/>
  <c r="H47" i="289"/>
  <c r="H47" i="295"/>
  <c r="E46" i="295"/>
  <c r="E45" i="295" s="1"/>
  <c r="F47" i="295"/>
  <c r="E93" i="295"/>
  <c r="F92" i="295"/>
  <c r="F93" i="295" s="1"/>
  <c r="H47" i="290"/>
  <c r="H46" i="290" s="1"/>
  <c r="F46" i="293"/>
  <c r="F45" i="293" s="1"/>
  <c r="E46" i="286"/>
  <c r="E133" i="1"/>
  <c r="F54" i="293"/>
  <c r="F50" i="293" s="1"/>
  <c r="E50" i="293"/>
  <c r="H48" i="293"/>
  <c r="H46" i="293" s="1"/>
  <c r="H45" i="293" s="1"/>
  <c r="I47" i="293"/>
  <c r="G46" i="293"/>
  <c r="G45" i="293" s="1"/>
  <c r="F46" i="289"/>
  <c r="I48" i="289"/>
  <c r="F46" i="287"/>
  <c r="F46" i="286"/>
  <c r="I48" i="286"/>
  <c r="E40" i="291"/>
  <c r="G46" i="286"/>
  <c r="I48" i="284"/>
  <c r="I48" i="288"/>
  <c r="I48" i="287"/>
  <c r="H48" i="289"/>
  <c r="I48" i="290"/>
  <c r="G46" i="284"/>
  <c r="I47" i="284"/>
  <c r="H47" i="284"/>
  <c r="F46" i="284"/>
  <c r="H48" i="284"/>
  <c r="I47" i="285"/>
  <c r="H48" i="288"/>
  <c r="H46" i="288" s="1"/>
  <c r="F46" i="288"/>
  <c r="I47" i="288"/>
  <c r="G46" i="288"/>
  <c r="I47" i="287"/>
  <c r="G46" i="287"/>
  <c r="H48" i="287"/>
  <c r="H46" i="287" s="1"/>
  <c r="H46" i="286"/>
  <c r="I48" i="285" l="1"/>
  <c r="I48" i="301"/>
  <c r="I46" i="301" s="1"/>
  <c r="I45" i="301" s="1"/>
  <c r="F66" i="1"/>
  <c r="E154" i="1"/>
  <c r="I48" i="295"/>
  <c r="G46" i="285"/>
  <c r="H48" i="285"/>
  <c r="H46" i="285" s="1"/>
  <c r="I92" i="301"/>
  <c r="I93" i="301" s="1"/>
  <c r="G93" i="301"/>
  <c r="I46" i="286"/>
  <c r="G46" i="301"/>
  <c r="G45" i="301" s="1"/>
  <c r="I54" i="301"/>
  <c r="I50" i="301" s="1"/>
  <c r="G50" i="301"/>
  <c r="I47" i="290"/>
  <c r="I46" i="290" s="1"/>
  <c r="S42" i="291"/>
  <c r="G66" i="1"/>
  <c r="Q41" i="291"/>
  <c r="Q40" i="291"/>
  <c r="G46" i="289"/>
  <c r="H46" i="289"/>
  <c r="I46" i="293"/>
  <c r="I45" i="293" s="1"/>
  <c r="I47" i="289"/>
  <c r="I46" i="289" s="1"/>
  <c r="G46" i="290"/>
  <c r="F46" i="295"/>
  <c r="F45" i="295" s="1"/>
  <c r="H65" i="1"/>
  <c r="F65" i="1"/>
  <c r="E64" i="1"/>
  <c r="E63" i="1" s="1"/>
  <c r="H46" i="295"/>
  <c r="H45" i="295" s="1"/>
  <c r="F54" i="295"/>
  <c r="F50" i="295" s="1"/>
  <c r="E50" i="295"/>
  <c r="H54" i="295"/>
  <c r="H50" i="295" s="1"/>
  <c r="H92" i="295"/>
  <c r="H93" i="295" s="1"/>
  <c r="I92" i="295"/>
  <c r="I93" i="295" s="1"/>
  <c r="G93" i="295"/>
  <c r="G46" i="295"/>
  <c r="G45" i="295" s="1"/>
  <c r="I47" i="295"/>
  <c r="I46" i="295" s="1"/>
  <c r="I45" i="295" s="1"/>
  <c r="H54" i="293"/>
  <c r="H50" i="293" s="1"/>
  <c r="G50" i="293"/>
  <c r="I54" i="293"/>
  <c r="I50" i="293" s="1"/>
  <c r="E93" i="293"/>
  <c r="H92" i="293"/>
  <c r="H93" i="293" s="1"/>
  <c r="F92" i="293"/>
  <c r="F93" i="293" s="1"/>
  <c r="I46" i="287"/>
  <c r="I46" i="284"/>
  <c r="I46" i="288"/>
  <c r="I46" i="285"/>
  <c r="H46" i="284"/>
  <c r="U42" i="291" l="1"/>
  <c r="S40" i="291"/>
  <c r="I66" i="1"/>
  <c r="F64" i="1"/>
  <c r="H66" i="1"/>
  <c r="H64" i="1" s="1"/>
  <c r="G64" i="1"/>
  <c r="T42" i="291"/>
  <c r="R41" i="291"/>
  <c r="U41" i="291" s="1"/>
  <c r="I65" i="1"/>
  <c r="I54" i="295"/>
  <c r="I50" i="295" s="1"/>
  <c r="G50" i="295"/>
  <c r="I92" i="293"/>
  <c r="I93" i="293" s="1"/>
  <c r="G93" i="293"/>
  <c r="T41" i="291"/>
  <c r="K29" i="291"/>
  <c r="E53" i="1"/>
  <c r="I64" i="1" l="1"/>
  <c r="R76" i="291"/>
  <c r="D65" i="281" l="1"/>
  <c r="D66" i="281"/>
  <c r="D67" i="281"/>
  <c r="D68" i="281"/>
  <c r="D69" i="281"/>
  <c r="D70" i="281"/>
  <c r="D71" i="281"/>
  <c r="D72" i="281"/>
  <c r="D73" i="281"/>
  <c r="D74" i="281"/>
  <c r="D75" i="281"/>
  <c r="D76" i="281"/>
  <c r="D77" i="281"/>
  <c r="D78" i="281"/>
  <c r="D79" i="281"/>
  <c r="D80" i="281"/>
  <c r="D81" i="281"/>
  <c r="D82" i="281"/>
  <c r="D83" i="281"/>
  <c r="D84" i="281"/>
  <c r="D85" i="281"/>
  <c r="D86" i="281"/>
  <c r="D87" i="281"/>
  <c r="D88" i="281"/>
  <c r="D89" i="281"/>
  <c r="D90" i="281"/>
  <c r="D91" i="281"/>
  <c r="D104" i="281"/>
  <c r="D105" i="281"/>
  <c r="D106" i="281"/>
  <c r="D107" i="281"/>
  <c r="D108" i="281"/>
  <c r="D110" i="281"/>
  <c r="F73" i="290"/>
  <c r="G73" i="290"/>
  <c r="H73" i="290" s="1"/>
  <c r="F74" i="290"/>
  <c r="G74" i="290"/>
  <c r="H74" i="290" s="1"/>
  <c r="I86" i="291"/>
  <c r="I85" i="291"/>
  <c r="H86" i="291"/>
  <c r="H85" i="291"/>
  <c r="G86" i="291"/>
  <c r="G85" i="291"/>
  <c r="F86" i="291"/>
  <c r="F85" i="291"/>
  <c r="E86" i="291"/>
  <c r="E85" i="291"/>
  <c r="L132" i="1" s="1"/>
  <c r="F82" i="291"/>
  <c r="Q82" i="291" s="1"/>
  <c r="G82" i="291"/>
  <c r="H82" i="291"/>
  <c r="I82" i="291"/>
  <c r="I74" i="291"/>
  <c r="I69" i="291"/>
  <c r="I68" i="291"/>
  <c r="I67" i="291"/>
  <c r="I47" i="291"/>
  <c r="I46" i="291"/>
  <c r="I43" i="291"/>
  <c r="I39" i="291" s="1"/>
  <c r="I36" i="291"/>
  <c r="I33" i="291"/>
  <c r="I32" i="291"/>
  <c r="I30" i="291"/>
  <c r="I29" i="291"/>
  <c r="I27" i="291"/>
  <c r="I26" i="291"/>
  <c r="I21" i="291"/>
  <c r="I18" i="291"/>
  <c r="H74" i="291"/>
  <c r="H69" i="291"/>
  <c r="H68" i="291"/>
  <c r="H67" i="291"/>
  <c r="H47" i="291"/>
  <c r="H46" i="291"/>
  <c r="H43" i="291"/>
  <c r="H39" i="291" s="1"/>
  <c r="H36" i="291"/>
  <c r="H33" i="291"/>
  <c r="H32" i="291"/>
  <c r="H30" i="291"/>
  <c r="H29" i="291"/>
  <c r="H27" i="291"/>
  <c r="H26" i="291"/>
  <c r="H21" i="291"/>
  <c r="G18" i="291"/>
  <c r="H18" i="291"/>
  <c r="E93" i="287"/>
  <c r="F74" i="291"/>
  <c r="F69" i="291"/>
  <c r="F68" i="291"/>
  <c r="F67" i="291"/>
  <c r="F47" i="291"/>
  <c r="F46" i="291"/>
  <c r="F43" i="291"/>
  <c r="F39" i="291" s="1"/>
  <c r="F36" i="291"/>
  <c r="F33" i="291"/>
  <c r="F32" i="291"/>
  <c r="F30" i="291"/>
  <c r="F29" i="291"/>
  <c r="F27" i="291"/>
  <c r="F26" i="291"/>
  <c r="F21" i="291"/>
  <c r="F18" i="291"/>
  <c r="L133" i="1" l="1"/>
  <c r="R82" i="291"/>
  <c r="S82" i="291"/>
  <c r="T82" i="291" s="1"/>
  <c r="I74" i="290"/>
  <c r="Q86" i="291"/>
  <c r="I73" i="290"/>
  <c r="E74" i="291"/>
  <c r="E69" i="291"/>
  <c r="E68" i="291"/>
  <c r="E67" i="291"/>
  <c r="E47" i="291"/>
  <c r="E46" i="291"/>
  <c r="E43" i="291"/>
  <c r="E39" i="291" s="1"/>
  <c r="E36" i="291"/>
  <c r="E33" i="291"/>
  <c r="E32" i="291"/>
  <c r="E30" i="291"/>
  <c r="E29" i="291"/>
  <c r="E27" i="291"/>
  <c r="E26" i="291"/>
  <c r="E51" i="286"/>
  <c r="E45" i="286"/>
  <c r="E93" i="286"/>
  <c r="T86" i="291" l="1"/>
  <c r="R86" i="291"/>
  <c r="E45" i="291"/>
  <c r="G25" i="291" l="1"/>
  <c r="I25" i="291"/>
  <c r="K25" i="291"/>
  <c r="K24" i="291" s="1"/>
  <c r="P25" i="291"/>
  <c r="P24" i="291" s="1"/>
  <c r="G28" i="291"/>
  <c r="K28" i="291"/>
  <c r="P28" i="291"/>
  <c r="G74" i="291"/>
  <c r="G69" i="291"/>
  <c r="G68" i="291"/>
  <c r="G67" i="291"/>
  <c r="G47" i="291"/>
  <c r="G46" i="291"/>
  <c r="G43" i="291"/>
  <c r="Q43" i="291" s="1"/>
  <c r="G36" i="291"/>
  <c r="Q36" i="291" s="1"/>
  <c r="G33" i="291"/>
  <c r="Q33" i="291" s="1"/>
  <c r="G32" i="291"/>
  <c r="Q32" i="291" s="1"/>
  <c r="G21" i="291"/>
  <c r="Q21" i="291" s="1"/>
  <c r="G29" i="291"/>
  <c r="Q29" i="291" s="1"/>
  <c r="G30" i="291"/>
  <c r="Q30" i="291" s="1"/>
  <c r="G27" i="291"/>
  <c r="Q27" i="291" s="1"/>
  <c r="G26" i="291"/>
  <c r="Q26" i="291" s="1"/>
  <c r="G34" i="301" l="1"/>
  <c r="F34" i="301"/>
  <c r="E30" i="301"/>
  <c r="G31" i="301"/>
  <c r="H31" i="301" s="1"/>
  <c r="H30" i="301" s="1"/>
  <c r="F31" i="301"/>
  <c r="F30" i="301" s="1"/>
  <c r="F34" i="295"/>
  <c r="G34" i="295"/>
  <c r="E30" i="295"/>
  <c r="G31" i="295"/>
  <c r="H31" i="295" s="1"/>
  <c r="H30" i="295" s="1"/>
  <c r="F31" i="295"/>
  <c r="F30" i="295" s="1"/>
  <c r="H25" i="291"/>
  <c r="H28" i="291"/>
  <c r="Q68" i="291"/>
  <c r="S68" i="291" s="1"/>
  <c r="T68" i="291" s="1"/>
  <c r="Q69" i="291"/>
  <c r="S69" i="291" s="1"/>
  <c r="T69" i="291" s="1"/>
  <c r="G39" i="291"/>
  <c r="S27" i="291"/>
  <c r="T27" i="291" s="1"/>
  <c r="R27" i="291"/>
  <c r="S36" i="291"/>
  <c r="T36" i="291" s="1"/>
  <c r="R36" i="291"/>
  <c r="S30" i="291"/>
  <c r="T30" i="291" s="1"/>
  <c r="R30" i="291"/>
  <c r="R32" i="291"/>
  <c r="S32" i="291"/>
  <c r="T32" i="291" s="1"/>
  <c r="R33" i="291"/>
  <c r="S33" i="291"/>
  <c r="T33" i="291" s="1"/>
  <c r="R26" i="291"/>
  <c r="S26" i="291"/>
  <c r="T26" i="291" s="1"/>
  <c r="I28" i="291"/>
  <c r="F28" i="291"/>
  <c r="R43" i="291"/>
  <c r="S43" i="291"/>
  <c r="T43" i="291" s="1"/>
  <c r="S29" i="291"/>
  <c r="T29" i="291" s="1"/>
  <c r="R29" i="291"/>
  <c r="F25" i="291"/>
  <c r="F48" i="291"/>
  <c r="G48" i="291"/>
  <c r="H48" i="291"/>
  <c r="I48" i="291"/>
  <c r="K48" i="291"/>
  <c r="K44" i="291" s="1"/>
  <c r="E72" i="1"/>
  <c r="E156" i="1" s="1"/>
  <c r="E28" i="291" l="1"/>
  <c r="E52" i="1"/>
  <c r="E25" i="291"/>
  <c r="E24" i="291" s="1"/>
  <c r="E49" i="1"/>
  <c r="I34" i="301"/>
  <c r="I34" i="295"/>
  <c r="H34" i="301"/>
  <c r="G30" i="301"/>
  <c r="I31" i="301"/>
  <c r="I30" i="301" s="1"/>
  <c r="F34" i="298"/>
  <c r="G34" i="298"/>
  <c r="E30" i="298"/>
  <c r="F31" i="298"/>
  <c r="F30" i="298" s="1"/>
  <c r="G31" i="298"/>
  <c r="H34" i="295"/>
  <c r="I31" i="295"/>
  <c r="I30" i="295" s="1"/>
  <c r="G30" i="295"/>
  <c r="G34" i="293"/>
  <c r="H34" i="293" s="1"/>
  <c r="F34" i="293"/>
  <c r="E30" i="293"/>
  <c r="G31" i="293"/>
  <c r="F31" i="293"/>
  <c r="F30" i="293" s="1"/>
  <c r="R68" i="291"/>
  <c r="R69" i="291"/>
  <c r="Q39" i="291"/>
  <c r="R40" i="291"/>
  <c r="R39" i="291" s="1"/>
  <c r="T40" i="291"/>
  <c r="T39" i="291" s="1"/>
  <c r="S39" i="291"/>
  <c r="Q28" i="291"/>
  <c r="E48" i="291"/>
  <c r="E44" i="291" s="1"/>
  <c r="E50" i="286"/>
  <c r="G51" i="291"/>
  <c r="Q25" i="291" l="1"/>
  <c r="S25" i="291" s="1"/>
  <c r="T25" i="291" s="1"/>
  <c r="I34" i="298"/>
  <c r="I34" i="293"/>
  <c r="H34" i="298"/>
  <c r="I31" i="298"/>
  <c r="I30" i="298" s="1"/>
  <c r="G30" i="298"/>
  <c r="H31" i="298"/>
  <c r="H30" i="298" s="1"/>
  <c r="I31" i="293"/>
  <c r="I30" i="293" s="1"/>
  <c r="G30" i="293"/>
  <c r="H31" i="293"/>
  <c r="H30" i="293" s="1"/>
  <c r="S28" i="291"/>
  <c r="T28" i="291" s="1"/>
  <c r="Q48" i="291"/>
  <c r="R28" i="291"/>
  <c r="H35" i="291"/>
  <c r="I35" i="291"/>
  <c r="K35" i="291"/>
  <c r="R25" i="291" l="1"/>
  <c r="G35" i="291"/>
  <c r="E59" i="1"/>
  <c r="P34" i="291"/>
  <c r="P31" i="291" s="1"/>
  <c r="F40" i="298"/>
  <c r="G40" i="298"/>
  <c r="G37" i="298" s="1"/>
  <c r="G55" i="298" s="1"/>
  <c r="E37" i="298"/>
  <c r="G40" i="293"/>
  <c r="G37" i="293" s="1"/>
  <c r="G55" i="293" s="1"/>
  <c r="F40" i="293"/>
  <c r="E37" i="293"/>
  <c r="R48" i="291"/>
  <c r="T48" i="291"/>
  <c r="H34" i="291"/>
  <c r="F35" i="291"/>
  <c r="F34" i="291"/>
  <c r="K34" i="291"/>
  <c r="G34" i="291"/>
  <c r="I34" i="291"/>
  <c r="P81" i="291" l="1"/>
  <c r="P83" i="291" s="1"/>
  <c r="P49" i="291"/>
  <c r="G40" i="301"/>
  <c r="G37" i="301" s="1"/>
  <c r="G55" i="301" s="1"/>
  <c r="F40" i="301"/>
  <c r="E37" i="301"/>
  <c r="E55" i="298"/>
  <c r="H40" i="298"/>
  <c r="H37" i="298" s="1"/>
  <c r="H55" i="298" s="1"/>
  <c r="I40" i="298"/>
  <c r="I37" i="298" s="1"/>
  <c r="I55" i="298" s="1"/>
  <c r="F37" i="298"/>
  <c r="F55" i="298" s="1"/>
  <c r="H40" i="293"/>
  <c r="H37" i="293" s="1"/>
  <c r="H55" i="293" s="1"/>
  <c r="G40" i="295"/>
  <c r="G37" i="295" s="1"/>
  <c r="G55" i="295" s="1"/>
  <c r="F40" i="295"/>
  <c r="E55" i="293"/>
  <c r="I40" i="293"/>
  <c r="I37" i="293" s="1"/>
  <c r="I55" i="293" s="1"/>
  <c r="F37" i="293"/>
  <c r="F55" i="293" s="1"/>
  <c r="E35" i="291"/>
  <c r="Q35" i="291" s="1"/>
  <c r="D82" i="276"/>
  <c r="P88" i="291" l="1"/>
  <c r="E34" i="291"/>
  <c r="Q34" i="291" s="1"/>
  <c r="S34" i="291" s="1"/>
  <c r="T34" i="291" s="1"/>
  <c r="E58" i="1"/>
  <c r="H40" i="301"/>
  <c r="H37" i="301" s="1"/>
  <c r="H55" i="301" s="1"/>
  <c r="E87" i="301"/>
  <c r="E55" i="301"/>
  <c r="I40" i="301"/>
  <c r="I37" i="301" s="1"/>
  <c r="I55" i="301" s="1"/>
  <c r="F37" i="301"/>
  <c r="F55" i="301" s="1"/>
  <c r="H40" i="295"/>
  <c r="H37" i="295" s="1"/>
  <c r="H55" i="295" s="1"/>
  <c r="E87" i="295"/>
  <c r="E55" i="295"/>
  <c r="I40" i="295"/>
  <c r="I37" i="295" s="1"/>
  <c r="I55" i="295" s="1"/>
  <c r="F37" i="295"/>
  <c r="F55" i="295" s="1"/>
  <c r="R35" i="291"/>
  <c r="S35" i="291"/>
  <c r="T35" i="291" s="1"/>
  <c r="E56" i="291"/>
  <c r="Q56" i="291" s="1"/>
  <c r="S18" i="291"/>
  <c r="T18" i="291" s="1"/>
  <c r="U18" i="291" s="1"/>
  <c r="S15" i="291"/>
  <c r="R18" i="291"/>
  <c r="R15" i="291"/>
  <c r="R34" i="291" l="1"/>
  <c r="E89" i="301"/>
  <c r="E94" i="301" s="1"/>
  <c r="P98" i="291" s="1"/>
  <c r="F87" i="301"/>
  <c r="F89" i="301" s="1"/>
  <c r="G87" i="301"/>
  <c r="H87" i="301" s="1"/>
  <c r="H89" i="301" s="1"/>
  <c r="E89" i="295"/>
  <c r="E94" i="295" s="1"/>
  <c r="L98" i="291" s="1"/>
  <c r="G87" i="295"/>
  <c r="H87" i="295" s="1"/>
  <c r="H89" i="295" s="1"/>
  <c r="F87" i="295"/>
  <c r="F89" i="295" s="1"/>
  <c r="S56" i="291"/>
  <c r="T56" i="291" s="1"/>
  <c r="R56" i="291"/>
  <c r="A5" i="291"/>
  <c r="F87" i="291"/>
  <c r="G87" i="291"/>
  <c r="H87" i="291"/>
  <c r="I87" i="291"/>
  <c r="F45" i="291"/>
  <c r="G45" i="291"/>
  <c r="G44" i="291" s="1"/>
  <c r="H45" i="291"/>
  <c r="H44" i="291" s="1"/>
  <c r="I45" i="291"/>
  <c r="I44" i="291" s="1"/>
  <c r="Q24" i="291"/>
  <c r="Q22" i="291"/>
  <c r="F24" i="291"/>
  <c r="G24" i="291"/>
  <c r="H24" i="291"/>
  <c r="I24" i="291"/>
  <c r="F22" i="291"/>
  <c r="G22" i="291"/>
  <c r="H22" i="291"/>
  <c r="I22" i="291"/>
  <c r="G89" i="301" l="1"/>
  <c r="I87" i="301"/>
  <c r="I89" i="301" s="1"/>
  <c r="G94" i="301"/>
  <c r="H94" i="301" s="1"/>
  <c r="I94" i="301" s="1"/>
  <c r="F94" i="301"/>
  <c r="G94" i="295"/>
  <c r="H94" i="295" s="1"/>
  <c r="I94" i="295" s="1"/>
  <c r="F94" i="295"/>
  <c r="I87" i="295"/>
  <c r="I89" i="295" s="1"/>
  <c r="G89" i="295"/>
  <c r="U56" i="291"/>
  <c r="F44" i="291"/>
  <c r="Q46" i="291" s="1"/>
  <c r="Q47" i="291"/>
  <c r="D101" i="282"/>
  <c r="D102" i="282"/>
  <c r="D103" i="282"/>
  <c r="D104" i="282"/>
  <c r="D105" i="282"/>
  <c r="D106" i="282"/>
  <c r="D107" i="282"/>
  <c r="D108" i="282"/>
  <c r="D109" i="282"/>
  <c r="C110" i="282"/>
  <c r="O103" i="291" l="1"/>
  <c r="E108" i="1"/>
  <c r="H117" i="282"/>
  <c r="R47" i="291"/>
  <c r="S47" i="291"/>
  <c r="T47" i="291" s="1"/>
  <c r="Q45" i="291"/>
  <c r="S46" i="291"/>
  <c r="T46" i="291" s="1"/>
  <c r="R46" i="291"/>
  <c r="D96" i="282"/>
  <c r="D97" i="282"/>
  <c r="D53" i="282"/>
  <c r="D54" i="282"/>
  <c r="D55" i="282"/>
  <c r="D56" i="282"/>
  <c r="D57" i="282"/>
  <c r="D58" i="282"/>
  <c r="D59" i="282"/>
  <c r="D60" i="282"/>
  <c r="D61" i="282"/>
  <c r="D62" i="282"/>
  <c r="D63" i="282"/>
  <c r="D64" i="282"/>
  <c r="D65" i="282"/>
  <c r="D66" i="282"/>
  <c r="D67" i="282"/>
  <c r="D68" i="282"/>
  <c r="D69" i="282"/>
  <c r="D70" i="282"/>
  <c r="D71" i="282"/>
  <c r="D72" i="282"/>
  <c r="D73" i="282"/>
  <c r="D74" i="282"/>
  <c r="D75" i="282"/>
  <c r="D76" i="282"/>
  <c r="D77" i="282"/>
  <c r="D78" i="282"/>
  <c r="D79" i="282"/>
  <c r="D80" i="282"/>
  <c r="D81" i="282"/>
  <c r="D82" i="282"/>
  <c r="D83" i="282"/>
  <c r="D84" i="282"/>
  <c r="D85" i="282"/>
  <c r="D86" i="282"/>
  <c r="D87" i="282"/>
  <c r="D88" i="282"/>
  <c r="D89" i="282"/>
  <c r="D90" i="282"/>
  <c r="D91" i="282"/>
  <c r="D92" i="282"/>
  <c r="D93" i="282"/>
  <c r="D94" i="282"/>
  <c r="D95" i="282"/>
  <c r="D18" i="282"/>
  <c r="D19" i="282"/>
  <c r="D20" i="282"/>
  <c r="D21" i="282"/>
  <c r="D22" i="282"/>
  <c r="D23" i="282"/>
  <c r="D24" i="282"/>
  <c r="D25" i="282"/>
  <c r="D26" i="282"/>
  <c r="D111" i="280"/>
  <c r="C113" i="280"/>
  <c r="D30" i="280"/>
  <c r="D31" i="280"/>
  <c r="D32" i="280"/>
  <c r="D33" i="280"/>
  <c r="D34" i="280"/>
  <c r="D35" i="280"/>
  <c r="D36" i="280"/>
  <c r="D37" i="280"/>
  <c r="D38" i="280"/>
  <c r="D54" i="280"/>
  <c r="D55" i="280"/>
  <c r="D56" i="280"/>
  <c r="D57" i="280"/>
  <c r="D58" i="280"/>
  <c r="D59" i="280"/>
  <c r="D60" i="280"/>
  <c r="D61" i="280"/>
  <c r="D62" i="280"/>
  <c r="D63" i="280"/>
  <c r="D64" i="280"/>
  <c r="D65" i="280"/>
  <c r="D66" i="280"/>
  <c r="D67" i="280"/>
  <c r="D100" i="279"/>
  <c r="H120" i="280" l="1"/>
  <c r="E107" i="1"/>
  <c r="Q44" i="291"/>
  <c r="C27" i="277"/>
  <c r="D67" i="277"/>
  <c r="D68" i="277"/>
  <c r="D85" i="276"/>
  <c r="E87" i="291"/>
  <c r="S76" i="291"/>
  <c r="T76" i="291" s="1"/>
  <c r="E22" i="291"/>
  <c r="S21" i="291"/>
  <c r="S22" i="291" s="1"/>
  <c r="R21" i="291"/>
  <c r="R22" i="291" s="1"/>
  <c r="T15" i="291"/>
  <c r="E93" i="290"/>
  <c r="F92" i="290"/>
  <c r="G91" i="290"/>
  <c r="F91" i="290"/>
  <c r="G88" i="290"/>
  <c r="H88" i="290" s="1"/>
  <c r="F88" i="290"/>
  <c r="G82" i="290"/>
  <c r="H82" i="290" s="1"/>
  <c r="F82" i="290"/>
  <c r="G80" i="290"/>
  <c r="F80" i="290"/>
  <c r="G75" i="290"/>
  <c r="F75" i="290"/>
  <c r="G49" i="290"/>
  <c r="H49" i="290" s="1"/>
  <c r="F49" i="290"/>
  <c r="G42" i="290"/>
  <c r="F42" i="290"/>
  <c r="G41" i="290"/>
  <c r="F41" i="290"/>
  <c r="G40" i="290"/>
  <c r="F40" i="290"/>
  <c r="G39" i="290"/>
  <c r="F39" i="290"/>
  <c r="G38" i="290"/>
  <c r="F38" i="290"/>
  <c r="G36" i="290"/>
  <c r="F36" i="290"/>
  <c r="G35" i="290"/>
  <c r="F35" i="290"/>
  <c r="G34" i="290"/>
  <c r="F34" i="290"/>
  <c r="G33" i="290"/>
  <c r="F33" i="290"/>
  <c r="G32" i="290"/>
  <c r="F32" i="290"/>
  <c r="E30" i="290"/>
  <c r="E28" i="290"/>
  <c r="G27" i="290"/>
  <c r="G28" i="290" s="1"/>
  <c r="F27" i="290"/>
  <c r="F28" i="290" s="1"/>
  <c r="G24" i="290"/>
  <c r="F24" i="290"/>
  <c r="G16" i="290"/>
  <c r="H16" i="290" s="1"/>
  <c r="I16" i="290" s="1"/>
  <c r="F16" i="290"/>
  <c r="E93" i="289"/>
  <c r="F92" i="289"/>
  <c r="G91" i="289"/>
  <c r="F91" i="289"/>
  <c r="G88" i="289"/>
  <c r="F88" i="289"/>
  <c r="G82" i="289"/>
  <c r="H82" i="289" s="1"/>
  <c r="I82" i="289" s="1"/>
  <c r="F82" i="289"/>
  <c r="G80" i="289"/>
  <c r="F80" i="289"/>
  <c r="G75" i="289"/>
  <c r="F75" i="289"/>
  <c r="G74" i="289"/>
  <c r="H74" i="289" s="1"/>
  <c r="F74" i="289"/>
  <c r="G73" i="289"/>
  <c r="F73" i="289"/>
  <c r="G49" i="289"/>
  <c r="F49" i="289"/>
  <c r="E45" i="289"/>
  <c r="G42" i="289"/>
  <c r="F42" i="289"/>
  <c r="G41" i="289"/>
  <c r="F41" i="289"/>
  <c r="G40" i="289"/>
  <c r="F40" i="289"/>
  <c r="G39" i="289"/>
  <c r="H39" i="289" s="1"/>
  <c r="F39" i="289"/>
  <c r="G38" i="289"/>
  <c r="F38" i="289"/>
  <c r="G36" i="289"/>
  <c r="H36" i="289" s="1"/>
  <c r="F36" i="289"/>
  <c r="G35" i="289"/>
  <c r="H35" i="289" s="1"/>
  <c r="F35" i="289"/>
  <c r="G34" i="289"/>
  <c r="F34" i="289"/>
  <c r="G33" i="289"/>
  <c r="H33" i="289" s="1"/>
  <c r="F33" i="289"/>
  <c r="G32" i="289"/>
  <c r="H32" i="289" s="1"/>
  <c r="F32" i="289"/>
  <c r="E30" i="289"/>
  <c r="E28" i="289"/>
  <c r="G27" i="289"/>
  <c r="G28" i="289" s="1"/>
  <c r="F27" i="289"/>
  <c r="F28" i="289" s="1"/>
  <c r="G24" i="289"/>
  <c r="F24" i="289"/>
  <c r="G16" i="289"/>
  <c r="H16" i="289" s="1"/>
  <c r="F16" i="289"/>
  <c r="E93" i="288"/>
  <c r="H92" i="288"/>
  <c r="F92" i="288"/>
  <c r="G91" i="288"/>
  <c r="F91" i="288"/>
  <c r="G88" i="288"/>
  <c r="H88" i="288" s="1"/>
  <c r="F88" i="288"/>
  <c r="G82" i="288"/>
  <c r="H82" i="288" s="1"/>
  <c r="F82" i="288"/>
  <c r="G80" i="288"/>
  <c r="F80" i="288"/>
  <c r="G75" i="288"/>
  <c r="H75" i="288" s="1"/>
  <c r="F75" i="288"/>
  <c r="G74" i="288"/>
  <c r="F74" i="288"/>
  <c r="G73" i="288"/>
  <c r="F73" i="288"/>
  <c r="F52" i="288"/>
  <c r="G49" i="288"/>
  <c r="F49" i="288"/>
  <c r="G42" i="288"/>
  <c r="F42" i="288"/>
  <c r="G41" i="288"/>
  <c r="F41" i="288"/>
  <c r="G40" i="288"/>
  <c r="H40" i="288" s="1"/>
  <c r="F40" i="288"/>
  <c r="G39" i="288"/>
  <c r="F39" i="288"/>
  <c r="G38" i="288"/>
  <c r="H38" i="288" s="1"/>
  <c r="F38" i="288"/>
  <c r="G36" i="288"/>
  <c r="F36" i="288"/>
  <c r="G35" i="288"/>
  <c r="F35" i="288"/>
  <c r="G34" i="288"/>
  <c r="F34" i="288"/>
  <c r="G33" i="288"/>
  <c r="F33" i="288"/>
  <c r="G32" i="288"/>
  <c r="F32" i="288"/>
  <c r="E28" i="288"/>
  <c r="G27" i="288"/>
  <c r="H27" i="288" s="1"/>
  <c r="H28" i="288" s="1"/>
  <c r="F27" i="288"/>
  <c r="G24" i="288"/>
  <c r="H24" i="288" s="1"/>
  <c r="F24" i="288"/>
  <c r="G16" i="288"/>
  <c r="H16" i="288" s="1"/>
  <c r="I16" i="288" s="1"/>
  <c r="F16" i="288"/>
  <c r="F92" i="287"/>
  <c r="G91" i="287"/>
  <c r="F91" i="287"/>
  <c r="G88" i="287"/>
  <c r="H88" i="287" s="1"/>
  <c r="F88" i="287"/>
  <c r="G82" i="287"/>
  <c r="F82" i="287"/>
  <c r="G80" i="287"/>
  <c r="F80" i="287"/>
  <c r="G75" i="287"/>
  <c r="F75" i="287"/>
  <c r="G74" i="287"/>
  <c r="H74" i="287" s="1"/>
  <c r="F74" i="287"/>
  <c r="G73" i="287"/>
  <c r="F73" i="287"/>
  <c r="F54" i="287"/>
  <c r="G52" i="287"/>
  <c r="G49" i="287"/>
  <c r="H49" i="287" s="1"/>
  <c r="F49" i="287"/>
  <c r="G42" i="287"/>
  <c r="H42" i="287" s="1"/>
  <c r="F42" i="287"/>
  <c r="G41" i="287"/>
  <c r="F41" i="287"/>
  <c r="G40" i="287"/>
  <c r="H40" i="287" s="1"/>
  <c r="F40" i="287"/>
  <c r="G39" i="287"/>
  <c r="F39" i="287"/>
  <c r="G38" i="287"/>
  <c r="H38" i="287" s="1"/>
  <c r="F38" i="287"/>
  <c r="G36" i="287"/>
  <c r="H36" i="287" s="1"/>
  <c r="F36" i="287"/>
  <c r="G35" i="287"/>
  <c r="F35" i="287"/>
  <c r="G34" i="287"/>
  <c r="F34" i="287"/>
  <c r="G33" i="287"/>
  <c r="H33" i="287" s="1"/>
  <c r="F33" i="287"/>
  <c r="G32" i="287"/>
  <c r="H32" i="287" s="1"/>
  <c r="F32" i="287"/>
  <c r="G31" i="287"/>
  <c r="E30" i="287"/>
  <c r="E28" i="287"/>
  <c r="G27" i="287"/>
  <c r="F27" i="287"/>
  <c r="F28" i="287" s="1"/>
  <c r="G24" i="287"/>
  <c r="F24" i="287"/>
  <c r="G16" i="287"/>
  <c r="F16" i="287"/>
  <c r="F92" i="286"/>
  <c r="G91" i="286"/>
  <c r="F91" i="286"/>
  <c r="G88" i="286"/>
  <c r="H88" i="286" s="1"/>
  <c r="F88" i="286"/>
  <c r="G82" i="286"/>
  <c r="H82" i="286" s="1"/>
  <c r="I82" i="286" s="1"/>
  <c r="F82" i="286"/>
  <c r="G80" i="286"/>
  <c r="H80" i="286" s="1"/>
  <c r="F80" i="286"/>
  <c r="G75" i="286"/>
  <c r="F75" i="286"/>
  <c r="G74" i="286"/>
  <c r="H74" i="286" s="1"/>
  <c r="F74" i="286"/>
  <c r="G73" i="286"/>
  <c r="F73" i="286"/>
  <c r="F52" i="286"/>
  <c r="G49" i="286"/>
  <c r="H49" i="286" s="1"/>
  <c r="F49" i="286"/>
  <c r="G42" i="286"/>
  <c r="F42" i="286"/>
  <c r="G41" i="286"/>
  <c r="F41" i="286"/>
  <c r="G40" i="286"/>
  <c r="H40" i="286" s="1"/>
  <c r="F40" i="286"/>
  <c r="G39" i="286"/>
  <c r="F39" i="286"/>
  <c r="G38" i="286"/>
  <c r="F38" i="286"/>
  <c r="G36" i="286"/>
  <c r="F36" i="286"/>
  <c r="G35" i="286"/>
  <c r="F35" i="286"/>
  <c r="G34" i="286"/>
  <c r="H34" i="286" s="1"/>
  <c r="F34" i="286"/>
  <c r="G33" i="286"/>
  <c r="F33" i="286"/>
  <c r="G32" i="286"/>
  <c r="F32" i="286"/>
  <c r="E28" i="286"/>
  <c r="G27" i="286"/>
  <c r="F27" i="286"/>
  <c r="F28" i="286" s="1"/>
  <c r="G24" i="286"/>
  <c r="H24" i="286" s="1"/>
  <c r="F24" i="286"/>
  <c r="G16" i="286"/>
  <c r="F16" i="286"/>
  <c r="E93" i="285"/>
  <c r="F92" i="285"/>
  <c r="G91" i="285"/>
  <c r="F91" i="285"/>
  <c r="G88" i="285"/>
  <c r="F88" i="285"/>
  <c r="G82" i="285"/>
  <c r="H82" i="285" s="1"/>
  <c r="F82" i="285"/>
  <c r="G80" i="285"/>
  <c r="F80" i="285"/>
  <c r="G75" i="285"/>
  <c r="F75" i="285"/>
  <c r="G74" i="285"/>
  <c r="F74" i="285"/>
  <c r="G73" i="285"/>
  <c r="F73" i="285"/>
  <c r="G49" i="285"/>
  <c r="F49" i="285"/>
  <c r="G42" i="285"/>
  <c r="F42" i="285"/>
  <c r="G41" i="285"/>
  <c r="F41" i="285"/>
  <c r="G40" i="285"/>
  <c r="F40" i="285"/>
  <c r="G39" i="285"/>
  <c r="F39" i="285"/>
  <c r="G38" i="285"/>
  <c r="H38" i="285" s="1"/>
  <c r="F38" i="285"/>
  <c r="G36" i="285"/>
  <c r="F36" i="285"/>
  <c r="G35" i="285"/>
  <c r="F35" i="285"/>
  <c r="G34" i="285"/>
  <c r="F34" i="285"/>
  <c r="G33" i="285"/>
  <c r="F33" i="285"/>
  <c r="G32" i="285"/>
  <c r="F32" i="285"/>
  <c r="E30" i="285"/>
  <c r="E28" i="285"/>
  <c r="G27" i="285"/>
  <c r="G28" i="285" s="1"/>
  <c r="F27" i="285"/>
  <c r="F28" i="285" s="1"/>
  <c r="G24" i="285"/>
  <c r="F24" i="285"/>
  <c r="G16" i="285"/>
  <c r="H16" i="285" s="1"/>
  <c r="F16" i="285"/>
  <c r="E93" i="284"/>
  <c r="G91" i="284"/>
  <c r="F91" i="284"/>
  <c r="G88" i="284"/>
  <c r="F88" i="284"/>
  <c r="G82" i="284"/>
  <c r="F82" i="284"/>
  <c r="G80" i="284"/>
  <c r="F80" i="284"/>
  <c r="G75" i="284"/>
  <c r="F75" i="284"/>
  <c r="G74" i="284"/>
  <c r="F74" i="284"/>
  <c r="G73" i="284"/>
  <c r="H73" i="284" s="1"/>
  <c r="F73" i="284"/>
  <c r="I62" i="291"/>
  <c r="I103" i="291" s="1"/>
  <c r="F54" i="284"/>
  <c r="G49" i="284"/>
  <c r="H49" i="284" s="1"/>
  <c r="F49" i="284"/>
  <c r="E45" i="284"/>
  <c r="G42" i="284"/>
  <c r="F42" i="284"/>
  <c r="G41" i="284"/>
  <c r="H41" i="284" s="1"/>
  <c r="F41" i="284"/>
  <c r="G40" i="284"/>
  <c r="F40" i="284"/>
  <c r="G39" i="284"/>
  <c r="F39" i="284"/>
  <c r="G38" i="284"/>
  <c r="F38" i="284"/>
  <c r="G36" i="284"/>
  <c r="F36" i="284"/>
  <c r="G35" i="284"/>
  <c r="F35" i="284"/>
  <c r="G34" i="284"/>
  <c r="H34" i="284" s="1"/>
  <c r="F34" i="284"/>
  <c r="G33" i="284"/>
  <c r="F33" i="284"/>
  <c r="G32" i="284"/>
  <c r="H32" i="284" s="1"/>
  <c r="F32" i="284"/>
  <c r="G31" i="284"/>
  <c r="E30" i="284"/>
  <c r="E28" i="284"/>
  <c r="G27" i="284"/>
  <c r="G28" i="284" s="1"/>
  <c r="F27" i="284"/>
  <c r="F28" i="284" s="1"/>
  <c r="G24" i="284"/>
  <c r="H24" i="284" s="1"/>
  <c r="F24" i="284"/>
  <c r="J18" i="291" s="1"/>
  <c r="G16" i="284"/>
  <c r="H16" i="284" s="1"/>
  <c r="F16" i="284"/>
  <c r="D94" i="278"/>
  <c r="F133" i="1"/>
  <c r="G132" i="1"/>
  <c r="F132" i="1"/>
  <c r="G129" i="1"/>
  <c r="F129" i="1"/>
  <c r="G121" i="1"/>
  <c r="F121" i="1"/>
  <c r="G116" i="1"/>
  <c r="F116" i="1"/>
  <c r="G115" i="1"/>
  <c r="F115" i="1"/>
  <c r="G114" i="1"/>
  <c r="F114" i="1"/>
  <c r="F72" i="1"/>
  <c r="G67" i="1"/>
  <c r="F67" i="1"/>
  <c r="G60" i="1"/>
  <c r="F60" i="1"/>
  <c r="G59" i="1"/>
  <c r="F59" i="1"/>
  <c r="G58" i="1"/>
  <c r="F58" i="1"/>
  <c r="G57" i="1"/>
  <c r="F57" i="1"/>
  <c r="G56" i="1"/>
  <c r="F56" i="1"/>
  <c r="G54" i="1"/>
  <c r="F54" i="1"/>
  <c r="G53" i="1"/>
  <c r="F53" i="1"/>
  <c r="G52" i="1"/>
  <c r="F52" i="1"/>
  <c r="G51" i="1"/>
  <c r="F51" i="1"/>
  <c r="G50" i="1"/>
  <c r="F50" i="1"/>
  <c r="G49" i="1"/>
  <c r="F49" i="1"/>
  <c r="G45" i="1"/>
  <c r="F45" i="1"/>
  <c r="G42" i="1"/>
  <c r="H42" i="1" s="1"/>
  <c r="F42" i="1"/>
  <c r="D18" i="281"/>
  <c r="D19" i="281"/>
  <c r="D20" i="281"/>
  <c r="D21" i="281"/>
  <c r="D22" i="281"/>
  <c r="D23" i="281"/>
  <c r="D24" i="281"/>
  <c r="D25" i="281"/>
  <c r="D28" i="281"/>
  <c r="B8" i="280"/>
  <c r="D110" i="282"/>
  <c r="D100" i="282"/>
  <c r="C98" i="282"/>
  <c r="D52" i="282"/>
  <c r="D51" i="282"/>
  <c r="D49" i="282" s="1"/>
  <c r="D35" i="282"/>
  <c r="D34" i="282"/>
  <c r="D33" i="282"/>
  <c r="D32" i="282"/>
  <c r="D31" i="282"/>
  <c r="D30" i="282"/>
  <c r="D29" i="282"/>
  <c r="D28" i="282"/>
  <c r="D27" i="282"/>
  <c r="D41" i="282"/>
  <c r="C41" i="282"/>
  <c r="D38" i="282"/>
  <c r="C36" i="282"/>
  <c r="D17" i="282"/>
  <c r="E23" i="1"/>
  <c r="D14" i="282"/>
  <c r="D1" i="282"/>
  <c r="D111" i="281"/>
  <c r="C111" i="281"/>
  <c r="D103" i="281"/>
  <c r="D102" i="281"/>
  <c r="D101" i="281"/>
  <c r="D100" i="281"/>
  <c r="D99" i="281"/>
  <c r="D98" i="281"/>
  <c r="C96" i="281"/>
  <c r="D64" i="281"/>
  <c r="D63" i="281"/>
  <c r="D62" i="281"/>
  <c r="D61" i="281"/>
  <c r="D60" i="281"/>
  <c r="D59" i="281"/>
  <c r="D58" i="281"/>
  <c r="D57" i="281"/>
  <c r="D56" i="281"/>
  <c r="D55" i="281"/>
  <c r="D54" i="281"/>
  <c r="D53" i="281"/>
  <c r="D52" i="281"/>
  <c r="D51" i="281"/>
  <c r="D50" i="281"/>
  <c r="D34" i="281"/>
  <c r="D33" i="281"/>
  <c r="D32" i="281"/>
  <c r="D31" i="281"/>
  <c r="D30" i="281"/>
  <c r="D29" i="281"/>
  <c r="D40" i="281"/>
  <c r="C40" i="281"/>
  <c r="D37" i="281"/>
  <c r="C35" i="281"/>
  <c r="E38" i="1" s="1"/>
  <c r="D17" i="281"/>
  <c r="E25" i="1"/>
  <c r="D14" i="281"/>
  <c r="D1" i="281"/>
  <c r="D113" i="280"/>
  <c r="D112" i="280"/>
  <c r="D110" i="280"/>
  <c r="D109" i="280"/>
  <c r="D108" i="280"/>
  <c r="D107" i="280"/>
  <c r="D106" i="280"/>
  <c r="D105" i="280"/>
  <c r="D104" i="280"/>
  <c r="D103" i="280"/>
  <c r="C101" i="280"/>
  <c r="D100" i="280"/>
  <c r="D99" i="280"/>
  <c r="D98" i="280"/>
  <c r="D97" i="280"/>
  <c r="D96" i="280"/>
  <c r="D76" i="280"/>
  <c r="D75" i="280"/>
  <c r="D74" i="280"/>
  <c r="D73" i="280"/>
  <c r="D72" i="280"/>
  <c r="D71" i="280"/>
  <c r="D70" i="280"/>
  <c r="D69" i="280"/>
  <c r="D68" i="280"/>
  <c r="D44" i="280"/>
  <c r="C44" i="280"/>
  <c r="D41" i="280"/>
  <c r="D17" i="280"/>
  <c r="D15" i="280" s="1"/>
  <c r="D14" i="280"/>
  <c r="D1" i="280"/>
  <c r="B54" i="279"/>
  <c r="B8" i="279"/>
  <c r="D112" i="279"/>
  <c r="C112" i="279"/>
  <c r="H119" i="279" s="1"/>
  <c r="C98" i="279"/>
  <c r="H105" i="279" s="1"/>
  <c r="D28" i="279"/>
  <c r="D45" i="279"/>
  <c r="C45" i="279"/>
  <c r="D42" i="279"/>
  <c r="C40" i="279"/>
  <c r="D17" i="279"/>
  <c r="E20" i="1"/>
  <c r="D14" i="279"/>
  <c r="D1" i="279"/>
  <c r="B50" i="278"/>
  <c r="B8" i="278"/>
  <c r="D107" i="278"/>
  <c r="C107" i="278"/>
  <c r="H114" i="278" s="1"/>
  <c r="D23" i="278"/>
  <c r="D41" i="278"/>
  <c r="C41" i="278"/>
  <c r="D38" i="278"/>
  <c r="C36" i="278"/>
  <c r="E32" i="1" s="1"/>
  <c r="D17" i="278"/>
  <c r="E19" i="1"/>
  <c r="D14" i="278"/>
  <c r="D1" i="278"/>
  <c r="B8" i="277"/>
  <c r="B41" i="277"/>
  <c r="D73" i="277"/>
  <c r="E103" i="1"/>
  <c r="D72" i="277"/>
  <c r="D71" i="277"/>
  <c r="D70" i="277"/>
  <c r="D69" i="277"/>
  <c r="D66" i="277"/>
  <c r="D65" i="277"/>
  <c r="C63" i="277"/>
  <c r="D62" i="277"/>
  <c r="D61" i="277"/>
  <c r="D60" i="277"/>
  <c r="D59" i="277"/>
  <c r="D58" i="277"/>
  <c r="D57" i="277"/>
  <c r="D56" i="277"/>
  <c r="D55" i="277"/>
  <c r="D54" i="277"/>
  <c r="D53" i="277"/>
  <c r="D52" i="277"/>
  <c r="D51" i="277"/>
  <c r="D50" i="277"/>
  <c r="D49" i="277"/>
  <c r="D48" i="277"/>
  <c r="D47" i="277"/>
  <c r="D46" i="277"/>
  <c r="D45" i="277"/>
  <c r="D44" i="277"/>
  <c r="D43" i="277"/>
  <c r="D42" i="277"/>
  <c r="D26" i="277"/>
  <c r="D25" i="277"/>
  <c r="D24" i="277"/>
  <c r="D23" i="277"/>
  <c r="D22" i="277"/>
  <c r="D21" i="277"/>
  <c r="D20" i="277"/>
  <c r="D19" i="277"/>
  <c r="D32" i="277"/>
  <c r="C32" i="277"/>
  <c r="D29" i="277"/>
  <c r="D17" i="277"/>
  <c r="D14" i="277"/>
  <c r="D1" i="277"/>
  <c r="D43" i="276"/>
  <c r="C43" i="276"/>
  <c r="D108" i="276"/>
  <c r="E102" i="1"/>
  <c r="G102" i="1" s="1"/>
  <c r="E89" i="1"/>
  <c r="G89" i="1" s="1"/>
  <c r="D73" i="276"/>
  <c r="D74" i="276"/>
  <c r="D75" i="276"/>
  <c r="D76" i="276"/>
  <c r="D77" i="276"/>
  <c r="D78" i="276"/>
  <c r="D79" i="276"/>
  <c r="D80" i="276"/>
  <c r="D81" i="276"/>
  <c r="D40" i="276"/>
  <c r="D14" i="276"/>
  <c r="E16" i="291"/>
  <c r="B52" i="276"/>
  <c r="B8" i="276"/>
  <c r="D1" i="276"/>
  <c r="D30" i="1"/>
  <c r="B39" i="276" s="1"/>
  <c r="B16" i="277"/>
  <c r="B16" i="278"/>
  <c r="B16" i="279"/>
  <c r="B16" i="280"/>
  <c r="D17" i="1"/>
  <c r="B16" i="276" s="1"/>
  <c r="D48" i="281" l="1"/>
  <c r="D15" i="281"/>
  <c r="D15" i="282"/>
  <c r="D52" i="280"/>
  <c r="D15" i="279"/>
  <c r="L129" i="1"/>
  <c r="H118" i="281"/>
  <c r="E110" i="1"/>
  <c r="F25" i="1"/>
  <c r="G25" i="1"/>
  <c r="H103" i="281"/>
  <c r="E97" i="1"/>
  <c r="E22" i="293"/>
  <c r="J17" i="291" s="1"/>
  <c r="J19" i="291" s="1"/>
  <c r="E23" i="293"/>
  <c r="F32" i="1"/>
  <c r="G32" i="1"/>
  <c r="F19" i="1"/>
  <c r="G19" i="1"/>
  <c r="D92" i="278"/>
  <c r="D40" i="277"/>
  <c r="D27" i="277"/>
  <c r="E31" i="1"/>
  <c r="D51" i="276"/>
  <c r="H38" i="276"/>
  <c r="E23" i="286" s="1"/>
  <c r="E30" i="1"/>
  <c r="E95" i="1"/>
  <c r="H105" i="282"/>
  <c r="D36" i="282"/>
  <c r="E36" i="1"/>
  <c r="G23" i="1"/>
  <c r="F23" i="1"/>
  <c r="D35" i="281"/>
  <c r="G17" i="298"/>
  <c r="H17" i="298" s="1"/>
  <c r="F17" i="298"/>
  <c r="N93" i="298"/>
  <c r="N96" i="298" s="1"/>
  <c r="E94" i="1"/>
  <c r="H108" i="280"/>
  <c r="E22" i="1"/>
  <c r="G107" i="1"/>
  <c r="H107" i="1" s="1"/>
  <c r="F107" i="1"/>
  <c r="D39" i="280"/>
  <c r="E35" i="1"/>
  <c r="G21" i="1"/>
  <c r="H21" i="1" s="1"/>
  <c r="F21" i="1"/>
  <c r="D40" i="279"/>
  <c r="E33" i="1"/>
  <c r="F20" i="1"/>
  <c r="G20" i="1"/>
  <c r="E91" i="1"/>
  <c r="F91" i="1" s="1"/>
  <c r="H99" i="278"/>
  <c r="D36" i="278"/>
  <c r="H36" i="278"/>
  <c r="E90" i="1"/>
  <c r="G90" i="1" s="1"/>
  <c r="H90" i="1" s="1"/>
  <c r="H70" i="277"/>
  <c r="I121" i="1"/>
  <c r="I45" i="1"/>
  <c r="I88" i="286"/>
  <c r="I116" i="1"/>
  <c r="I114" i="1"/>
  <c r="I115" i="1"/>
  <c r="I42" i="1"/>
  <c r="F93" i="289"/>
  <c r="I92" i="289"/>
  <c r="F93" i="284"/>
  <c r="F93" i="285"/>
  <c r="G93" i="285"/>
  <c r="H27" i="289"/>
  <c r="H28" i="289" s="1"/>
  <c r="I27" i="289"/>
  <c r="I28" i="289" s="1"/>
  <c r="I80" i="289"/>
  <c r="I56" i="1"/>
  <c r="I24" i="290"/>
  <c r="F93" i="290"/>
  <c r="I60" i="1"/>
  <c r="I92" i="290"/>
  <c r="I92" i="284"/>
  <c r="I75" i="285"/>
  <c r="I91" i="288"/>
  <c r="I57" i="1"/>
  <c r="I50" i="1"/>
  <c r="I35" i="289"/>
  <c r="I39" i="290"/>
  <c r="I88" i="285"/>
  <c r="F63" i="1"/>
  <c r="E104" i="1"/>
  <c r="F104" i="1" s="1"/>
  <c r="G62" i="291"/>
  <c r="G103" i="291" s="1"/>
  <c r="I40" i="284"/>
  <c r="I53" i="1"/>
  <c r="I132" i="1"/>
  <c r="F134" i="1"/>
  <c r="I129" i="1"/>
  <c r="I72" i="1"/>
  <c r="I67" i="1"/>
  <c r="G63" i="1"/>
  <c r="I59" i="1"/>
  <c r="I58" i="1"/>
  <c r="I54" i="1"/>
  <c r="I52" i="1"/>
  <c r="I51" i="1"/>
  <c r="I49" i="1"/>
  <c r="I41" i="289"/>
  <c r="I42" i="289"/>
  <c r="I34" i="285"/>
  <c r="I49" i="289"/>
  <c r="I36" i="289"/>
  <c r="I73" i="289"/>
  <c r="I88" i="289"/>
  <c r="I32" i="289"/>
  <c r="I38" i="289"/>
  <c r="I39" i="289"/>
  <c r="I33" i="289"/>
  <c r="H41" i="289"/>
  <c r="H73" i="289"/>
  <c r="H38" i="289"/>
  <c r="I34" i="289"/>
  <c r="H88" i="289"/>
  <c r="H34" i="289"/>
  <c r="H42" i="289"/>
  <c r="I74" i="289"/>
  <c r="I24" i="289"/>
  <c r="F31" i="289"/>
  <c r="F30" i="289" s="1"/>
  <c r="H49" i="289"/>
  <c r="G31" i="289"/>
  <c r="G30" i="289" s="1"/>
  <c r="I40" i="289"/>
  <c r="F54" i="289"/>
  <c r="I54" i="289" s="1"/>
  <c r="H92" i="289"/>
  <c r="I34" i="290"/>
  <c r="I41" i="290"/>
  <c r="I42" i="290"/>
  <c r="H27" i="290"/>
  <c r="H28" i="290" s="1"/>
  <c r="H92" i="290"/>
  <c r="I88" i="290"/>
  <c r="F31" i="290"/>
  <c r="F30" i="290" s="1"/>
  <c r="I49" i="290"/>
  <c r="G31" i="290"/>
  <c r="H31" i="290" s="1"/>
  <c r="H42" i="290"/>
  <c r="I38" i="290"/>
  <c r="I75" i="290"/>
  <c r="I32" i="290"/>
  <c r="H54" i="290"/>
  <c r="H39" i="290"/>
  <c r="I27" i="290"/>
  <c r="I28" i="290" s="1"/>
  <c r="I40" i="290"/>
  <c r="I35" i="290"/>
  <c r="I36" i="284"/>
  <c r="I16" i="284"/>
  <c r="I75" i="284"/>
  <c r="H75" i="284"/>
  <c r="I33" i="284"/>
  <c r="I39" i="284"/>
  <c r="I88" i="284"/>
  <c r="I34" i="284"/>
  <c r="H40" i="284"/>
  <c r="I74" i="284"/>
  <c r="I91" i="284"/>
  <c r="H31" i="284"/>
  <c r="I35" i="284"/>
  <c r="F31" i="284"/>
  <c r="I31" i="284" s="1"/>
  <c r="H92" i="284"/>
  <c r="I42" i="284"/>
  <c r="I80" i="284"/>
  <c r="G93" i="284"/>
  <c r="I24" i="284"/>
  <c r="I36" i="285"/>
  <c r="I74" i="285"/>
  <c r="I39" i="285"/>
  <c r="I16" i="285"/>
  <c r="I73" i="285"/>
  <c r="F31" i="285"/>
  <c r="F30" i="285" s="1"/>
  <c r="I92" i="285"/>
  <c r="H92" i="285"/>
  <c r="I33" i="285"/>
  <c r="I24" i="285"/>
  <c r="I40" i="285"/>
  <c r="I80" i="285"/>
  <c r="I42" i="285"/>
  <c r="I35" i="288"/>
  <c r="I33" i="288"/>
  <c r="F93" i="288"/>
  <c r="I36" i="288"/>
  <c r="F54" i="288"/>
  <c r="I54" i="288" s="1"/>
  <c r="G28" i="288"/>
  <c r="H35" i="288"/>
  <c r="I92" i="288"/>
  <c r="I49" i="288"/>
  <c r="G52" i="288"/>
  <c r="I52" i="288" s="1"/>
  <c r="H33" i="288"/>
  <c r="I88" i="288"/>
  <c r="F53" i="288"/>
  <c r="F51" i="288" s="1"/>
  <c r="I24" i="288"/>
  <c r="I38" i="287"/>
  <c r="I27" i="287"/>
  <c r="I28" i="287" s="1"/>
  <c r="I35" i="287"/>
  <c r="I33" i="287"/>
  <c r="H16" i="287"/>
  <c r="I54" i="287"/>
  <c r="I92" i="287"/>
  <c r="H31" i="287"/>
  <c r="H30" i="287" s="1"/>
  <c r="I73" i="287"/>
  <c r="I80" i="287"/>
  <c r="H92" i="287"/>
  <c r="H80" i="287"/>
  <c r="F31" i="287"/>
  <c r="I31" i="287" s="1"/>
  <c r="I36" i="287"/>
  <c r="I49" i="287"/>
  <c r="G30" i="287"/>
  <c r="I88" i="287"/>
  <c r="I32" i="287"/>
  <c r="F52" i="287"/>
  <c r="I52" i="287" s="1"/>
  <c r="H52" i="287"/>
  <c r="H16" i="286"/>
  <c r="G93" i="286"/>
  <c r="F93" i="286"/>
  <c r="I74" i="286"/>
  <c r="I73" i="286"/>
  <c r="I41" i="286"/>
  <c r="I35" i="286"/>
  <c r="I42" i="286"/>
  <c r="H73" i="286"/>
  <c r="I40" i="286"/>
  <c r="I92" i="286"/>
  <c r="H42" i="286"/>
  <c r="I75" i="286"/>
  <c r="H92" i="286"/>
  <c r="I49" i="286"/>
  <c r="I32" i="286"/>
  <c r="H41" i="286"/>
  <c r="I39" i="286"/>
  <c r="G52" i="286"/>
  <c r="I52" i="286" s="1"/>
  <c r="U68" i="291"/>
  <c r="U82" i="291"/>
  <c r="U34" i="291"/>
  <c r="U36" i="291"/>
  <c r="U86" i="291"/>
  <c r="U29" i="291"/>
  <c r="U69" i="291"/>
  <c r="U26" i="291"/>
  <c r="U28" i="291"/>
  <c r="E22" i="289"/>
  <c r="M17" i="291" s="1"/>
  <c r="E17" i="289"/>
  <c r="M16" i="291" s="1"/>
  <c r="G108" i="1"/>
  <c r="H108" i="1" s="1"/>
  <c r="F108" i="1"/>
  <c r="O102" i="291"/>
  <c r="E22" i="290"/>
  <c r="K17" i="291" s="1"/>
  <c r="E17" i="290"/>
  <c r="K16" i="291" s="1"/>
  <c r="I51" i="291"/>
  <c r="E92" i="1"/>
  <c r="D98" i="279"/>
  <c r="E105" i="1"/>
  <c r="F105" i="1" s="1"/>
  <c r="E22" i="285"/>
  <c r="F38" i="1"/>
  <c r="G17" i="291"/>
  <c r="E22" i="288"/>
  <c r="G16" i="291"/>
  <c r="E22" i="287"/>
  <c r="E17" i="291"/>
  <c r="E51" i="291"/>
  <c r="E22" i="286"/>
  <c r="C13" i="276"/>
  <c r="U15" i="291"/>
  <c r="U32" i="291"/>
  <c r="U35" i="291"/>
  <c r="U43" i="291"/>
  <c r="T21" i="291"/>
  <c r="T22" i="291" s="1"/>
  <c r="U27" i="291"/>
  <c r="U30" i="291"/>
  <c r="U21" i="291"/>
  <c r="U22" i="291" s="1"/>
  <c r="R24" i="291"/>
  <c r="U33" i="291"/>
  <c r="F53" i="290"/>
  <c r="G53" i="290"/>
  <c r="E51" i="290"/>
  <c r="E50" i="290" s="1"/>
  <c r="I16" i="289"/>
  <c r="H24" i="289"/>
  <c r="G52" i="289"/>
  <c r="I33" i="290"/>
  <c r="H38" i="290"/>
  <c r="F52" i="290"/>
  <c r="H40" i="289"/>
  <c r="F52" i="289"/>
  <c r="E45" i="290"/>
  <c r="H32" i="290"/>
  <c r="I75" i="289"/>
  <c r="H41" i="290"/>
  <c r="I80" i="290"/>
  <c r="F45" i="290"/>
  <c r="F54" i="290"/>
  <c r="I82" i="290"/>
  <c r="G93" i="290"/>
  <c r="I91" i="290"/>
  <c r="H91" i="289"/>
  <c r="I91" i="289"/>
  <c r="G93" i="289"/>
  <c r="H35" i="290"/>
  <c r="I36" i="290"/>
  <c r="H91" i="290"/>
  <c r="H54" i="289"/>
  <c r="H75" i="289"/>
  <c r="G52" i="290"/>
  <c r="H52" i="290" s="1"/>
  <c r="H33" i="290"/>
  <c r="H36" i="290"/>
  <c r="H80" i="290"/>
  <c r="H24" i="290"/>
  <c r="H34" i="290"/>
  <c r="H80" i="289"/>
  <c r="H40" i="290"/>
  <c r="H75" i="290"/>
  <c r="G31" i="288"/>
  <c r="H31" i="288" s="1"/>
  <c r="E30" i="288"/>
  <c r="I38" i="286"/>
  <c r="H38" i="286"/>
  <c r="I80" i="286"/>
  <c r="I34" i="287"/>
  <c r="H34" i="287"/>
  <c r="H73" i="287"/>
  <c r="F31" i="288"/>
  <c r="F30" i="288" s="1"/>
  <c r="I36" i="286"/>
  <c r="I42" i="287"/>
  <c r="H54" i="287"/>
  <c r="H32" i="286"/>
  <c r="H36" i="286"/>
  <c r="H39" i="286"/>
  <c r="I41" i="288"/>
  <c r="H41" i="288"/>
  <c r="I74" i="288"/>
  <c r="I80" i="288"/>
  <c r="H80" i="288"/>
  <c r="I33" i="286"/>
  <c r="E45" i="287"/>
  <c r="H82" i="287"/>
  <c r="I27" i="286"/>
  <c r="I28" i="286" s="1"/>
  <c r="H27" i="286"/>
  <c r="H28" i="286" s="1"/>
  <c r="G28" i="286"/>
  <c r="H32" i="288"/>
  <c r="I32" i="288"/>
  <c r="H74" i="288"/>
  <c r="H35" i="286"/>
  <c r="I41" i="287"/>
  <c r="H41" i="287"/>
  <c r="I42" i="288"/>
  <c r="H42" i="288"/>
  <c r="F31" i="286"/>
  <c r="F30" i="286" s="1"/>
  <c r="G31" i="286"/>
  <c r="E30" i="286"/>
  <c r="I91" i="287"/>
  <c r="H91" i="287"/>
  <c r="G93" i="287"/>
  <c r="I24" i="287"/>
  <c r="F28" i="288"/>
  <c r="I27" i="288"/>
  <c r="I28" i="288" s="1"/>
  <c r="H91" i="286"/>
  <c r="H24" i="287"/>
  <c r="H49" i="288"/>
  <c r="I91" i="286"/>
  <c r="H54" i="288"/>
  <c r="I24" i="286"/>
  <c r="H33" i="286"/>
  <c r="H35" i="287"/>
  <c r="H39" i="287"/>
  <c r="H75" i="287"/>
  <c r="I75" i="287"/>
  <c r="H34" i="288"/>
  <c r="I34" i="288"/>
  <c r="E45" i="288"/>
  <c r="I75" i="288"/>
  <c r="I82" i="288"/>
  <c r="H54" i="286"/>
  <c r="I39" i="287"/>
  <c r="F54" i="286"/>
  <c r="I54" i="286" s="1"/>
  <c r="H39" i="288"/>
  <c r="I39" i="288"/>
  <c r="I34" i="286"/>
  <c r="I40" i="287"/>
  <c r="I74" i="287"/>
  <c r="H36" i="288"/>
  <c r="H75" i="286"/>
  <c r="F53" i="287"/>
  <c r="I40" i="288"/>
  <c r="G93" i="288"/>
  <c r="H91" i="288"/>
  <c r="H93" i="288" s="1"/>
  <c r="I73" i="288"/>
  <c r="H27" i="287"/>
  <c r="H28" i="287" s="1"/>
  <c r="G28" i="287"/>
  <c r="F93" i="287"/>
  <c r="I38" i="288"/>
  <c r="H73" i="288"/>
  <c r="H54" i="285"/>
  <c r="F54" i="285"/>
  <c r="I32" i="285"/>
  <c r="H32" i="285"/>
  <c r="I49" i="285"/>
  <c r="I41" i="285"/>
  <c r="I82" i="285"/>
  <c r="I35" i="285"/>
  <c r="H35" i="285"/>
  <c r="G53" i="285"/>
  <c r="E51" i="285"/>
  <c r="E50" i="285" s="1"/>
  <c r="F53" i="285"/>
  <c r="H73" i="285"/>
  <c r="G52" i="285"/>
  <c r="H52" i="285" s="1"/>
  <c r="I91" i="285"/>
  <c r="H33" i="285"/>
  <c r="H36" i="285"/>
  <c r="H80" i="285"/>
  <c r="H27" i="285"/>
  <c r="H28" i="285" s="1"/>
  <c r="H39" i="285"/>
  <c r="H42" i="285"/>
  <c r="H74" i="285"/>
  <c r="H88" i="285"/>
  <c r="H41" i="285"/>
  <c r="H91" i="285"/>
  <c r="I27" i="285"/>
  <c r="I28" i="285" s="1"/>
  <c r="G31" i="285"/>
  <c r="H31" i="285" s="1"/>
  <c r="F45" i="285"/>
  <c r="I38" i="285"/>
  <c r="F52" i="285"/>
  <c r="H24" i="285"/>
  <c r="H34" i="285"/>
  <c r="E45" i="285"/>
  <c r="H40" i="285"/>
  <c r="H75" i="285"/>
  <c r="H49" i="285"/>
  <c r="G53" i="284"/>
  <c r="H53" i="284" s="1"/>
  <c r="E51" i="284"/>
  <c r="E50" i="284" s="1"/>
  <c r="F53" i="284"/>
  <c r="I54" i="284"/>
  <c r="H82" i="284"/>
  <c r="G30" i="284"/>
  <c r="I38" i="284"/>
  <c r="I41" i="284"/>
  <c r="I49" i="284"/>
  <c r="F52" i="284"/>
  <c r="I73" i="284"/>
  <c r="H91" i="284"/>
  <c r="I32" i="284"/>
  <c r="H33" i="284"/>
  <c r="H36" i="284"/>
  <c r="H80" i="284"/>
  <c r="H27" i="284"/>
  <c r="H28" i="284" s="1"/>
  <c r="H39" i="284"/>
  <c r="H42" i="284"/>
  <c r="H74" i="284"/>
  <c r="H88" i="284"/>
  <c r="H35" i="284"/>
  <c r="H38" i="284"/>
  <c r="G52" i="284"/>
  <c r="H52" i="284" s="1"/>
  <c r="I27" i="284"/>
  <c r="I28" i="284" s="1"/>
  <c r="F89" i="1"/>
  <c r="I89" i="1" s="1"/>
  <c r="F102" i="1"/>
  <c r="I102" i="1" s="1"/>
  <c r="G103" i="1"/>
  <c r="H103" i="1" s="1"/>
  <c r="F103" i="1"/>
  <c r="F90" i="1"/>
  <c r="C13" i="277"/>
  <c r="I133" i="1"/>
  <c r="G134" i="1"/>
  <c r="H133" i="1"/>
  <c r="H132" i="1"/>
  <c r="H129" i="1"/>
  <c r="H121" i="1"/>
  <c r="H116" i="1"/>
  <c r="H115" i="1"/>
  <c r="H114" i="1"/>
  <c r="H102" i="1"/>
  <c r="H89" i="1"/>
  <c r="H72" i="1"/>
  <c r="H67" i="1"/>
  <c r="H60" i="1"/>
  <c r="H59" i="1"/>
  <c r="H58" i="1"/>
  <c r="H57" i="1"/>
  <c r="H56" i="1"/>
  <c r="H54" i="1"/>
  <c r="H53" i="1"/>
  <c r="H52" i="1"/>
  <c r="H51" i="1"/>
  <c r="H50" i="1"/>
  <c r="H49" i="1"/>
  <c r="H45" i="1"/>
  <c r="C13" i="282"/>
  <c r="C13" i="281"/>
  <c r="D96" i="281"/>
  <c r="D98" i="282"/>
  <c r="D13" i="282"/>
  <c r="D13" i="281"/>
  <c r="C13" i="280"/>
  <c r="D101" i="280"/>
  <c r="C13" i="279"/>
  <c r="C13" i="278"/>
  <c r="D15" i="278"/>
  <c r="D13" i="278" s="1"/>
  <c r="D15" i="277"/>
  <c r="D13" i="277" s="1"/>
  <c r="D63" i="277"/>
  <c r="D92" i="276"/>
  <c r="D13" i="276"/>
  <c r="M19" i="291" l="1"/>
  <c r="M90" i="291" s="1"/>
  <c r="M89" i="291"/>
  <c r="M79" i="291" s="1"/>
  <c r="K19" i="291"/>
  <c r="K101" i="291"/>
  <c r="K104" i="291" s="1"/>
  <c r="K90" i="291"/>
  <c r="K89" i="291"/>
  <c r="K79" i="291" s="1"/>
  <c r="J89" i="291"/>
  <c r="J90" i="291"/>
  <c r="J101" i="291"/>
  <c r="J104" i="291" s="1"/>
  <c r="J81" i="291"/>
  <c r="I32" i="1"/>
  <c r="J79" i="291"/>
  <c r="G97" i="1"/>
  <c r="H97" i="1" s="1"/>
  <c r="F97" i="1"/>
  <c r="H25" i="1"/>
  <c r="I25" i="1"/>
  <c r="G110" i="1"/>
  <c r="H110" i="1" s="1"/>
  <c r="F110" i="1"/>
  <c r="D13" i="280"/>
  <c r="G23" i="293"/>
  <c r="G22" i="293" s="1"/>
  <c r="F23" i="293"/>
  <c r="F22" i="293" s="1"/>
  <c r="F25" i="293" s="1"/>
  <c r="N93" i="293"/>
  <c r="N96" i="293" s="1"/>
  <c r="E25" i="293"/>
  <c r="D13" i="279"/>
  <c r="H19" i="1"/>
  <c r="I19" i="1"/>
  <c r="H32" i="1"/>
  <c r="G91" i="1"/>
  <c r="H91" i="1" s="1"/>
  <c r="F31" i="1"/>
  <c r="G31" i="1"/>
  <c r="F95" i="1"/>
  <c r="G95" i="1"/>
  <c r="H23" i="1"/>
  <c r="I23" i="1"/>
  <c r="F25" i="298"/>
  <c r="G17" i="289"/>
  <c r="H17" i="289" s="1"/>
  <c r="F17" i="289"/>
  <c r="I17" i="298"/>
  <c r="E96" i="298"/>
  <c r="E95" i="298"/>
  <c r="E85" i="298" s="1"/>
  <c r="E87" i="298"/>
  <c r="G17" i="290"/>
  <c r="H17" i="290" s="1"/>
  <c r="F17" i="290"/>
  <c r="I107" i="1"/>
  <c r="F94" i="1"/>
  <c r="G94" i="1"/>
  <c r="F22" i="1"/>
  <c r="G22" i="1"/>
  <c r="F35" i="1"/>
  <c r="G35" i="1"/>
  <c r="I17" i="291"/>
  <c r="I21" i="1"/>
  <c r="F33" i="1"/>
  <c r="G33" i="1"/>
  <c r="H20" i="1"/>
  <c r="I20" i="1"/>
  <c r="G104" i="1"/>
  <c r="I104" i="1" s="1"/>
  <c r="F25" i="288"/>
  <c r="G23" i="286"/>
  <c r="F23" i="286"/>
  <c r="F22" i="286" s="1"/>
  <c r="F25" i="286" s="1"/>
  <c r="H93" i="284"/>
  <c r="I93" i="289"/>
  <c r="I93" i="288"/>
  <c r="H93" i="290"/>
  <c r="I93" i="284"/>
  <c r="N93" i="290"/>
  <c r="I93" i="290"/>
  <c r="I63" i="1"/>
  <c r="I134" i="1"/>
  <c r="H30" i="285"/>
  <c r="P103" i="291"/>
  <c r="P102" i="291"/>
  <c r="I57" i="291"/>
  <c r="I102" i="291" s="1"/>
  <c r="G93" i="1"/>
  <c r="H93" i="1" s="1"/>
  <c r="I16" i="291"/>
  <c r="G105" i="1"/>
  <c r="H105" i="1" s="1"/>
  <c r="G92" i="1"/>
  <c r="H92" i="1" s="1"/>
  <c r="G57" i="291"/>
  <c r="N93" i="287"/>
  <c r="H134" i="1"/>
  <c r="H63" i="1"/>
  <c r="E25" i="289"/>
  <c r="E96" i="289" s="1"/>
  <c r="F93" i="1"/>
  <c r="F92" i="1"/>
  <c r="H51" i="291"/>
  <c r="H57" i="291"/>
  <c r="H102" i="291" s="1"/>
  <c r="H17" i="291"/>
  <c r="H16" i="291"/>
  <c r="H62" i="291"/>
  <c r="H103" i="291" s="1"/>
  <c r="F57" i="291"/>
  <c r="Q67" i="291"/>
  <c r="F17" i="291"/>
  <c r="F51" i="291"/>
  <c r="F16" i="291"/>
  <c r="E25" i="288"/>
  <c r="E96" i="288" s="1"/>
  <c r="H93" i="289"/>
  <c r="F45" i="289"/>
  <c r="H31" i="289"/>
  <c r="H30" i="289" s="1"/>
  <c r="I31" i="289"/>
  <c r="I30" i="289" s="1"/>
  <c r="E25" i="290"/>
  <c r="E96" i="290" s="1"/>
  <c r="I31" i="290"/>
  <c r="I30" i="290" s="1"/>
  <c r="I54" i="290"/>
  <c r="G30" i="290"/>
  <c r="H30" i="290"/>
  <c r="H45" i="284"/>
  <c r="E25" i="284"/>
  <c r="E96" i="284" s="1"/>
  <c r="H54" i="284"/>
  <c r="H51" i="284"/>
  <c r="I30" i="284"/>
  <c r="H30" i="284"/>
  <c r="F30" i="284"/>
  <c r="E25" i="285"/>
  <c r="E96" i="285" s="1"/>
  <c r="H93" i="285"/>
  <c r="I93" i="285"/>
  <c r="H52" i="288"/>
  <c r="H30" i="288"/>
  <c r="H45" i="288"/>
  <c r="E51" i="288"/>
  <c r="E50" i="288" s="1"/>
  <c r="G53" i="288"/>
  <c r="G51" i="288" s="1"/>
  <c r="G50" i="288" s="1"/>
  <c r="F50" i="288"/>
  <c r="I93" i="287"/>
  <c r="E25" i="287"/>
  <c r="E96" i="287" s="1"/>
  <c r="F30" i="287"/>
  <c r="I16" i="287"/>
  <c r="H93" i="287"/>
  <c r="F51" i="287"/>
  <c r="F50" i="287" s="1"/>
  <c r="I30" i="287"/>
  <c r="G53" i="287"/>
  <c r="I53" i="287" s="1"/>
  <c r="I51" i="287" s="1"/>
  <c r="I50" i="287" s="1"/>
  <c r="E51" i="287"/>
  <c r="E50" i="287" s="1"/>
  <c r="E25" i="286"/>
  <c r="I16" i="286"/>
  <c r="H93" i="286"/>
  <c r="G53" i="286"/>
  <c r="H53" i="286" s="1"/>
  <c r="I93" i="286"/>
  <c r="F53" i="286"/>
  <c r="F51" i="286" s="1"/>
  <c r="F50" i="286" s="1"/>
  <c r="H52" i="286"/>
  <c r="G19" i="291"/>
  <c r="G90" i="291" s="1"/>
  <c r="E19" i="291"/>
  <c r="E90" i="291" s="1"/>
  <c r="U48" i="291"/>
  <c r="U46" i="291"/>
  <c r="N94" i="286"/>
  <c r="G113" i="1"/>
  <c r="H113" i="1" s="1"/>
  <c r="F113" i="1"/>
  <c r="G100" i="1"/>
  <c r="H100" i="1" s="1"/>
  <c r="F100" i="1"/>
  <c r="G41" i="1"/>
  <c r="F41" i="1"/>
  <c r="G99" i="1"/>
  <c r="H99" i="1" s="1"/>
  <c r="F99" i="1"/>
  <c r="I108" i="1"/>
  <c r="F40" i="1"/>
  <c r="G40" i="1"/>
  <c r="F106" i="1"/>
  <c r="G106" i="1"/>
  <c r="H106" i="1" s="1"/>
  <c r="G39" i="1"/>
  <c r="H39" i="1" s="1"/>
  <c r="F39" i="1"/>
  <c r="G38" i="1"/>
  <c r="I38" i="1" s="1"/>
  <c r="N93" i="285"/>
  <c r="N93" i="289"/>
  <c r="N93" i="288"/>
  <c r="N93" i="286"/>
  <c r="N95" i="286"/>
  <c r="E62" i="291"/>
  <c r="E57" i="291"/>
  <c r="N93" i="284"/>
  <c r="U76" i="291"/>
  <c r="R45" i="291"/>
  <c r="R44" i="291" s="1"/>
  <c r="U40" i="291"/>
  <c r="U39" i="291" s="1"/>
  <c r="S24" i="291"/>
  <c r="U25" i="291"/>
  <c r="U24" i="291" s="1"/>
  <c r="T24" i="291"/>
  <c r="G53" i="289"/>
  <c r="H53" i="289" s="1"/>
  <c r="F53" i="289"/>
  <c r="F51" i="289" s="1"/>
  <c r="F50" i="289" s="1"/>
  <c r="E51" i="289"/>
  <c r="E50" i="289" s="1"/>
  <c r="I53" i="290"/>
  <c r="G51" i="290"/>
  <c r="G50" i="290" s="1"/>
  <c r="I52" i="289"/>
  <c r="H53" i="290"/>
  <c r="H51" i="290" s="1"/>
  <c r="H50" i="290" s="1"/>
  <c r="G45" i="289"/>
  <c r="H52" i="289"/>
  <c r="I52" i="290"/>
  <c r="H45" i="289"/>
  <c r="H45" i="290"/>
  <c r="G45" i="290"/>
  <c r="F51" i="290"/>
  <c r="F50" i="290" s="1"/>
  <c r="I31" i="286"/>
  <c r="I30" i="286" s="1"/>
  <c r="G30" i="286"/>
  <c r="G45" i="287"/>
  <c r="H31" i="286"/>
  <c r="H30" i="286" s="1"/>
  <c r="F45" i="286"/>
  <c r="F45" i="287"/>
  <c r="G45" i="286"/>
  <c r="I45" i="286"/>
  <c r="I82" i="287"/>
  <c r="H45" i="286"/>
  <c r="G45" i="288"/>
  <c r="F45" i="288"/>
  <c r="G30" i="288"/>
  <c r="I31" i="288"/>
  <c r="I30" i="288" s="1"/>
  <c r="I31" i="285"/>
  <c r="I30" i="285" s="1"/>
  <c r="G30" i="285"/>
  <c r="F51" i="285"/>
  <c r="F50" i="285" s="1"/>
  <c r="I53" i="285"/>
  <c r="G51" i="285"/>
  <c r="G50" i="285" s="1"/>
  <c r="H45" i="285"/>
  <c r="I52" i="285"/>
  <c r="H53" i="285"/>
  <c r="H51" i="285" s="1"/>
  <c r="H50" i="285" s="1"/>
  <c r="I54" i="285"/>
  <c r="G45" i="285"/>
  <c r="I52" i="284"/>
  <c r="I82" i="284"/>
  <c r="F45" i="284"/>
  <c r="G45" i="284"/>
  <c r="I45" i="284"/>
  <c r="F51" i="284"/>
  <c r="F50" i="284" s="1"/>
  <c r="G51" i="284"/>
  <c r="G50" i="284" s="1"/>
  <c r="I53" i="284"/>
  <c r="G37" i="1"/>
  <c r="H37" i="1" s="1"/>
  <c r="F37" i="1"/>
  <c r="F30" i="1"/>
  <c r="G30" i="1"/>
  <c r="I90" i="1"/>
  <c r="E29" i="1"/>
  <c r="F36" i="1"/>
  <c r="G36" i="1"/>
  <c r="H36" i="1" s="1"/>
  <c r="I103" i="1"/>
  <c r="M101" i="291" l="1"/>
  <c r="M104" i="291" s="1"/>
  <c r="H23" i="286"/>
  <c r="H22" i="286" s="1"/>
  <c r="G22" i="286"/>
  <c r="E146" i="1"/>
  <c r="I91" i="1"/>
  <c r="I95" i="1"/>
  <c r="G29" i="1"/>
  <c r="F29" i="1"/>
  <c r="I33" i="1"/>
  <c r="I31" i="1"/>
  <c r="J75" i="291"/>
  <c r="I97" i="1"/>
  <c r="I110" i="1"/>
  <c r="I17" i="289"/>
  <c r="I17" i="290"/>
  <c r="I23" i="293"/>
  <c r="I22" i="293" s="1"/>
  <c r="I25" i="293" s="1"/>
  <c r="E96" i="293"/>
  <c r="E95" i="293"/>
  <c r="E85" i="293" s="1"/>
  <c r="E87" i="293"/>
  <c r="G25" i="293"/>
  <c r="H23" i="293"/>
  <c r="H22" i="293" s="1"/>
  <c r="H25" i="293" s="1"/>
  <c r="F25" i="285"/>
  <c r="H104" i="1"/>
  <c r="H31" i="1"/>
  <c r="I23" i="286"/>
  <c r="I22" i="286" s="1"/>
  <c r="I25" i="286" s="1"/>
  <c r="H95" i="1"/>
  <c r="H25" i="298"/>
  <c r="I25" i="298"/>
  <c r="G25" i="298"/>
  <c r="F87" i="298"/>
  <c r="G87" i="298"/>
  <c r="G96" i="298"/>
  <c r="H96" i="298" s="1"/>
  <c r="I96" i="298" s="1"/>
  <c r="F96" i="298"/>
  <c r="F95" i="298"/>
  <c r="G95" i="298"/>
  <c r="H95" i="298" s="1"/>
  <c r="I95" i="298" s="1"/>
  <c r="F96" i="289"/>
  <c r="G96" i="289"/>
  <c r="H96" i="289" s="1"/>
  <c r="I96" i="289" s="1"/>
  <c r="F96" i="290"/>
  <c r="G96" i="290"/>
  <c r="H96" i="290" s="1"/>
  <c r="I96" i="290" s="1"/>
  <c r="I19" i="291"/>
  <c r="I90" i="291" s="1"/>
  <c r="H94" i="1"/>
  <c r="I94" i="1"/>
  <c r="H22" i="1"/>
  <c r="I22" i="1"/>
  <c r="H35" i="1"/>
  <c r="I35" i="1"/>
  <c r="H33" i="1"/>
  <c r="Q17" i="291"/>
  <c r="S17" i="291" s="1"/>
  <c r="T17" i="291" s="1"/>
  <c r="U17" i="291" s="1"/>
  <c r="I25" i="288"/>
  <c r="E96" i="286"/>
  <c r="G96" i="286" s="1"/>
  <c r="H96" i="286" s="1"/>
  <c r="I96" i="286" s="1"/>
  <c r="G96" i="284"/>
  <c r="H96" i="284" s="1"/>
  <c r="I96" i="284" s="1"/>
  <c r="F96" i="284"/>
  <c r="F96" i="285"/>
  <c r="G96" i="285"/>
  <c r="H96" i="285" s="1"/>
  <c r="I96" i="285" s="1"/>
  <c r="G96" i="288"/>
  <c r="H96" i="288" s="1"/>
  <c r="I96" i="288" s="1"/>
  <c r="F96" i="288"/>
  <c r="G96" i="287"/>
  <c r="H96" i="287" s="1"/>
  <c r="I96" i="287" s="1"/>
  <c r="F96" i="287"/>
  <c r="N95" i="289"/>
  <c r="N94" i="289"/>
  <c r="G25" i="289"/>
  <c r="N95" i="290"/>
  <c r="N94" i="290"/>
  <c r="N95" i="284"/>
  <c r="N94" i="284"/>
  <c r="N95" i="285"/>
  <c r="N94" i="285"/>
  <c r="N95" i="288"/>
  <c r="N94" i="288"/>
  <c r="N95" i="287"/>
  <c r="N94" i="287"/>
  <c r="F62" i="291"/>
  <c r="F103" i="291" s="1"/>
  <c r="N96" i="286"/>
  <c r="H25" i="289"/>
  <c r="E102" i="291"/>
  <c r="S67" i="291"/>
  <c r="R67" i="291"/>
  <c r="E103" i="291"/>
  <c r="G25" i="284"/>
  <c r="H51" i="289"/>
  <c r="H50" i="289" s="1"/>
  <c r="H45" i="287"/>
  <c r="H25" i="284"/>
  <c r="I105" i="1"/>
  <c r="I92" i="1"/>
  <c r="G25" i="287"/>
  <c r="I45" i="289"/>
  <c r="F25" i="284"/>
  <c r="G25" i="285"/>
  <c r="H50" i="284"/>
  <c r="F25" i="289"/>
  <c r="I93" i="1"/>
  <c r="Q16" i="291"/>
  <c r="R16" i="291" s="1"/>
  <c r="I70" i="291"/>
  <c r="H70" i="291"/>
  <c r="G70" i="291"/>
  <c r="G102" i="291"/>
  <c r="G25" i="288"/>
  <c r="G89" i="291"/>
  <c r="F25" i="287"/>
  <c r="E70" i="291"/>
  <c r="E101" i="291"/>
  <c r="E89" i="291"/>
  <c r="F25" i="290"/>
  <c r="H25" i="290"/>
  <c r="G25" i="290"/>
  <c r="E76" i="290"/>
  <c r="I45" i="290"/>
  <c r="H19" i="291"/>
  <c r="H90" i="291" s="1"/>
  <c r="H38" i="1"/>
  <c r="Q58" i="291"/>
  <c r="R58" i="291" s="1"/>
  <c r="Q63" i="291"/>
  <c r="R63" i="291" s="1"/>
  <c r="G101" i="291"/>
  <c r="Q52" i="291"/>
  <c r="Q51" i="291" s="1"/>
  <c r="F19" i="291"/>
  <c r="F89" i="291" s="1"/>
  <c r="F102" i="291"/>
  <c r="I51" i="290"/>
  <c r="I50" i="290" s="1"/>
  <c r="H25" i="285"/>
  <c r="I45" i="285"/>
  <c r="I51" i="285"/>
  <c r="I50" i="285" s="1"/>
  <c r="H53" i="288"/>
  <c r="H51" i="288" s="1"/>
  <c r="H50" i="288" s="1"/>
  <c r="I53" i="288"/>
  <c r="I51" i="288" s="1"/>
  <c r="I50" i="288" s="1"/>
  <c r="G51" i="287"/>
  <c r="G50" i="287" s="1"/>
  <c r="H53" i="287"/>
  <c r="H51" i="287" s="1"/>
  <c r="H50" i="287" s="1"/>
  <c r="I45" i="287"/>
  <c r="G51" i="286"/>
  <c r="G50" i="286" s="1"/>
  <c r="G25" i="286"/>
  <c r="E79" i="286"/>
  <c r="I53" i="286"/>
  <c r="I51" i="286" s="1"/>
  <c r="I50" i="286" s="1"/>
  <c r="H51" i="286"/>
  <c r="H50" i="286" s="1"/>
  <c r="T45" i="291"/>
  <c r="T44" i="291" s="1"/>
  <c r="I100" i="1"/>
  <c r="I113" i="1"/>
  <c r="I41" i="1"/>
  <c r="H41" i="1"/>
  <c r="I99" i="1"/>
  <c r="I40" i="1"/>
  <c r="H40" i="1"/>
  <c r="E79" i="288"/>
  <c r="E76" i="289"/>
  <c r="E43" i="289" s="1"/>
  <c r="M37" i="291" s="1"/>
  <c r="M31" i="291" s="1"/>
  <c r="M81" i="291" s="1"/>
  <c r="I106" i="1"/>
  <c r="E79" i="290"/>
  <c r="I39" i="1"/>
  <c r="E79" i="284"/>
  <c r="E79" i="289"/>
  <c r="E79" i="285"/>
  <c r="E76" i="288"/>
  <c r="E76" i="285"/>
  <c r="E76" i="286"/>
  <c r="E44" i="286" s="1"/>
  <c r="E79" i="287"/>
  <c r="E76" i="287"/>
  <c r="E44" i="287" s="1"/>
  <c r="E76" i="284"/>
  <c r="U47" i="291"/>
  <c r="U45" i="291" s="1"/>
  <c r="U44" i="291" s="1"/>
  <c r="S45" i="291"/>
  <c r="S44" i="291" s="1"/>
  <c r="G51" i="289"/>
  <c r="G50" i="289" s="1"/>
  <c r="I53" i="289"/>
  <c r="I51" i="289" s="1"/>
  <c r="I50" i="289" s="1"/>
  <c r="I45" i="288"/>
  <c r="I51" i="284"/>
  <c r="I50" i="284" s="1"/>
  <c r="I37" i="1"/>
  <c r="I30" i="1"/>
  <c r="H30" i="1"/>
  <c r="I36" i="1"/>
  <c r="M73" i="291" l="1"/>
  <c r="E83" i="289"/>
  <c r="E86" i="289"/>
  <c r="E84" i="289"/>
  <c r="K73" i="291"/>
  <c r="E86" i="290"/>
  <c r="E84" i="290"/>
  <c r="E83" i="290"/>
  <c r="H88" i="1"/>
  <c r="E83" i="284"/>
  <c r="E86" i="284"/>
  <c r="E84" i="284"/>
  <c r="E95" i="285"/>
  <c r="E85" i="285" s="1"/>
  <c r="E84" i="285"/>
  <c r="F84" i="285" s="1"/>
  <c r="E86" i="285"/>
  <c r="F86" i="285" s="1"/>
  <c r="E83" i="285"/>
  <c r="F83" i="285" s="1"/>
  <c r="E95" i="288"/>
  <c r="E85" i="288" s="1"/>
  <c r="E86" i="288"/>
  <c r="F86" i="288" s="1"/>
  <c r="E84" i="288"/>
  <c r="E83" i="288"/>
  <c r="E95" i="287"/>
  <c r="E85" i="287" s="1"/>
  <c r="E86" i="287"/>
  <c r="E84" i="287"/>
  <c r="E83" i="287"/>
  <c r="E73" i="291"/>
  <c r="E86" i="286"/>
  <c r="E83" i="286"/>
  <c r="E84" i="286"/>
  <c r="E77" i="291"/>
  <c r="E80" i="291"/>
  <c r="E78" i="291"/>
  <c r="H29" i="1"/>
  <c r="I29" i="1"/>
  <c r="J83" i="291"/>
  <c r="J88" i="291" s="1"/>
  <c r="F87" i="293"/>
  <c r="G87" i="293"/>
  <c r="H87" i="293" s="1"/>
  <c r="F95" i="293"/>
  <c r="G95" i="293"/>
  <c r="H95" i="293" s="1"/>
  <c r="I95" i="293" s="1"/>
  <c r="F96" i="293"/>
  <c r="G96" i="293"/>
  <c r="H96" i="293" s="1"/>
  <c r="I96" i="293" s="1"/>
  <c r="N96" i="287"/>
  <c r="F96" i="286"/>
  <c r="I89" i="291"/>
  <c r="I79" i="291" s="1"/>
  <c r="I87" i="298"/>
  <c r="H87" i="298"/>
  <c r="G86" i="298"/>
  <c r="H86" i="298" s="1"/>
  <c r="F86" i="298"/>
  <c r="F83" i="298"/>
  <c r="E81" i="298"/>
  <c r="E89" i="298" s="1"/>
  <c r="E94" i="298" s="1"/>
  <c r="N98" i="291" s="1"/>
  <c r="H83" i="298"/>
  <c r="H84" i="298"/>
  <c r="F84" i="298"/>
  <c r="I84" i="298" s="1"/>
  <c r="H85" i="298"/>
  <c r="F85" i="298"/>
  <c r="I85" i="298" s="1"/>
  <c r="N96" i="284"/>
  <c r="F90" i="291"/>
  <c r="E104" i="291"/>
  <c r="E95" i="286"/>
  <c r="N96" i="289"/>
  <c r="N96" i="290"/>
  <c r="F95" i="285"/>
  <c r="G95" i="285"/>
  <c r="H95" i="285" s="1"/>
  <c r="I95" i="285" s="1"/>
  <c r="F95" i="288"/>
  <c r="G95" i="288"/>
  <c r="H95" i="288" s="1"/>
  <c r="I95" i="288" s="1"/>
  <c r="G95" i="287"/>
  <c r="H95" i="287" s="1"/>
  <c r="I95" i="287" s="1"/>
  <c r="F95" i="287"/>
  <c r="I25" i="289"/>
  <c r="I25" i="290"/>
  <c r="N96" i="285"/>
  <c r="N96" i="288"/>
  <c r="F70" i="291"/>
  <c r="T67" i="291"/>
  <c r="U67" i="291"/>
  <c r="E44" i="289"/>
  <c r="M38" i="291" s="1"/>
  <c r="M49" i="291" s="1"/>
  <c r="E44" i="290"/>
  <c r="K38" i="291" s="1"/>
  <c r="E43" i="290"/>
  <c r="K37" i="291" s="1"/>
  <c r="K31" i="291" s="1"/>
  <c r="K81" i="291" s="1"/>
  <c r="E44" i="284"/>
  <c r="E43" i="284"/>
  <c r="I37" i="291" s="1"/>
  <c r="I31" i="291" s="1"/>
  <c r="I25" i="284"/>
  <c r="E43" i="285"/>
  <c r="E44" i="285"/>
  <c r="E43" i="288"/>
  <c r="G37" i="291" s="1"/>
  <c r="G31" i="291" s="1"/>
  <c r="G81" i="291" s="1"/>
  <c r="E44" i="288"/>
  <c r="E43" i="287"/>
  <c r="E43" i="286"/>
  <c r="I25" i="287"/>
  <c r="G104" i="291"/>
  <c r="H25" i="287"/>
  <c r="R17" i="291"/>
  <c r="R19" i="291" s="1"/>
  <c r="G79" i="289"/>
  <c r="G78" i="289" s="1"/>
  <c r="S16" i="291"/>
  <c r="T16" i="291" s="1"/>
  <c r="U16" i="291" s="1"/>
  <c r="U19" i="291" s="1"/>
  <c r="Q19" i="291"/>
  <c r="I25" i="285"/>
  <c r="H89" i="291"/>
  <c r="H25" i="288"/>
  <c r="Q62" i="291"/>
  <c r="R62" i="291"/>
  <c r="S63" i="291"/>
  <c r="Q57" i="291"/>
  <c r="S58" i="291"/>
  <c r="S52" i="291"/>
  <c r="R52" i="291"/>
  <c r="R51" i="291" s="1"/>
  <c r="E95" i="289"/>
  <c r="E85" i="289" s="1"/>
  <c r="F76" i="285"/>
  <c r="F79" i="290"/>
  <c r="E95" i="290"/>
  <c r="E85" i="290" s="1"/>
  <c r="F79" i="284"/>
  <c r="F78" i="284" s="1"/>
  <c r="I73" i="291"/>
  <c r="E95" i="284"/>
  <c r="E85" i="284" s="1"/>
  <c r="F79" i="285"/>
  <c r="F78" i="285" s="1"/>
  <c r="H73" i="291"/>
  <c r="G79" i="291"/>
  <c r="F79" i="291"/>
  <c r="F73" i="291"/>
  <c r="E79" i="291"/>
  <c r="F79" i="286"/>
  <c r="F78" i="286" s="1"/>
  <c r="E72" i="291"/>
  <c r="F79" i="288"/>
  <c r="F78" i="288" s="1"/>
  <c r="G73" i="291"/>
  <c r="G76" i="288"/>
  <c r="H25" i="286"/>
  <c r="E78" i="286"/>
  <c r="G79" i="286"/>
  <c r="F76" i="287"/>
  <c r="F76" i="288"/>
  <c r="I76" i="285"/>
  <c r="G79" i="288"/>
  <c r="H79" i="288" s="1"/>
  <c r="H78" i="288" s="1"/>
  <c r="E78" i="288"/>
  <c r="F76" i="286"/>
  <c r="G76" i="286"/>
  <c r="G79" i="290"/>
  <c r="E78" i="290"/>
  <c r="H76" i="287"/>
  <c r="G76" i="290"/>
  <c r="F76" i="290"/>
  <c r="G76" i="285"/>
  <c r="I76" i="290"/>
  <c r="G79" i="284"/>
  <c r="H79" i="284" s="1"/>
  <c r="H78" i="284" s="1"/>
  <c r="G76" i="284"/>
  <c r="E78" i="284"/>
  <c r="F76" i="289"/>
  <c r="G76" i="287"/>
  <c r="E78" i="289"/>
  <c r="F79" i="289"/>
  <c r="F78" i="289" s="1"/>
  <c r="H76" i="284"/>
  <c r="G76" i="289"/>
  <c r="G79" i="285"/>
  <c r="H79" i="285" s="1"/>
  <c r="H78" i="285" s="1"/>
  <c r="E78" i="285"/>
  <c r="F76" i="284"/>
  <c r="F79" i="287"/>
  <c r="E78" i="287"/>
  <c r="G79" i="287"/>
  <c r="H79" i="287" s="1"/>
  <c r="G86" i="288"/>
  <c r="H76" i="285"/>
  <c r="M72" i="291" l="1"/>
  <c r="M78" i="291"/>
  <c r="M77" i="291"/>
  <c r="M80" i="291"/>
  <c r="K49" i="291"/>
  <c r="K72" i="291"/>
  <c r="K77" i="291"/>
  <c r="K80" i="291"/>
  <c r="K78" i="291"/>
  <c r="E62" i="1"/>
  <c r="E61" i="1"/>
  <c r="G77" i="291"/>
  <c r="G78" i="291"/>
  <c r="G80" i="291"/>
  <c r="I72" i="291"/>
  <c r="I78" i="291"/>
  <c r="I80" i="291"/>
  <c r="I77" i="291"/>
  <c r="F77" i="291"/>
  <c r="F78" i="291"/>
  <c r="F80" i="291"/>
  <c r="H72" i="291"/>
  <c r="H80" i="291"/>
  <c r="H78" i="291"/>
  <c r="H77" i="291"/>
  <c r="I87" i="293"/>
  <c r="E81" i="293"/>
  <c r="E89" i="293" s="1"/>
  <c r="E94" i="293" s="1"/>
  <c r="J98" i="291" s="1"/>
  <c r="H83" i="293"/>
  <c r="F83" i="293"/>
  <c r="F85" i="293"/>
  <c r="I85" i="293" s="1"/>
  <c r="H85" i="293"/>
  <c r="G86" i="293"/>
  <c r="H86" i="293" s="1"/>
  <c r="F86" i="293"/>
  <c r="F84" i="293"/>
  <c r="I84" i="293" s="1"/>
  <c r="H84" i="293"/>
  <c r="H81" i="298"/>
  <c r="H89" i="298" s="1"/>
  <c r="G94" i="298"/>
  <c r="H94" i="298" s="1"/>
  <c r="I94" i="298" s="1"/>
  <c r="F94" i="298"/>
  <c r="I83" i="298"/>
  <c r="F81" i="298"/>
  <c r="F89" i="298" s="1"/>
  <c r="G81" i="298"/>
  <c r="G89" i="298" s="1"/>
  <c r="I86" i="298"/>
  <c r="F83" i="286"/>
  <c r="I86" i="288"/>
  <c r="R90" i="291"/>
  <c r="Q70" i="291"/>
  <c r="Q90" i="291"/>
  <c r="Q100" i="291" s="1"/>
  <c r="G95" i="289"/>
  <c r="H95" i="289" s="1"/>
  <c r="I95" i="289" s="1"/>
  <c r="F95" i="289"/>
  <c r="H84" i="289"/>
  <c r="H83" i="290"/>
  <c r="F95" i="290"/>
  <c r="G95" i="290"/>
  <c r="H95" i="290" s="1"/>
  <c r="I95" i="290" s="1"/>
  <c r="H84" i="290"/>
  <c r="H84" i="284"/>
  <c r="F95" i="284"/>
  <c r="G95" i="284"/>
  <c r="H95" i="284" s="1"/>
  <c r="I95" i="284" s="1"/>
  <c r="F95" i="286"/>
  <c r="G95" i="286"/>
  <c r="H95" i="286" s="1"/>
  <c r="I95" i="286" s="1"/>
  <c r="R57" i="291"/>
  <c r="R70" i="291" s="1"/>
  <c r="G43" i="289"/>
  <c r="H43" i="289" s="1"/>
  <c r="E37" i="289"/>
  <c r="E87" i="289" s="1"/>
  <c r="F43" i="289"/>
  <c r="F37" i="289" s="1"/>
  <c r="F44" i="289"/>
  <c r="F44" i="290"/>
  <c r="I38" i="291"/>
  <c r="I49" i="291" s="1"/>
  <c r="F44" i="284"/>
  <c r="H38" i="291"/>
  <c r="F44" i="285"/>
  <c r="G38" i="291"/>
  <c r="G49" i="291" s="1"/>
  <c r="F44" i="288"/>
  <c r="H76" i="288"/>
  <c r="F38" i="291"/>
  <c r="H44" i="287"/>
  <c r="F44" i="287"/>
  <c r="E38" i="291"/>
  <c r="F44" i="286"/>
  <c r="T19" i="291"/>
  <c r="S19" i="291"/>
  <c r="Q103" i="291"/>
  <c r="Q102" i="291"/>
  <c r="H79" i="289"/>
  <c r="H78" i="289" s="1"/>
  <c r="Q101" i="291"/>
  <c r="I81" i="291"/>
  <c r="H79" i="291"/>
  <c r="T63" i="291"/>
  <c r="U63" i="291"/>
  <c r="S62" i="291"/>
  <c r="T58" i="291"/>
  <c r="U58" i="291"/>
  <c r="S57" i="291"/>
  <c r="Q89" i="291"/>
  <c r="Q99" i="291" s="1"/>
  <c r="T52" i="291"/>
  <c r="T51" i="291" s="1"/>
  <c r="U52" i="291"/>
  <c r="U51" i="291" s="1"/>
  <c r="U90" i="291" s="1"/>
  <c r="S51" i="291"/>
  <c r="E37" i="291"/>
  <c r="E31" i="291" s="1"/>
  <c r="F72" i="291"/>
  <c r="Q74" i="291" s="1"/>
  <c r="Q73" i="291"/>
  <c r="H85" i="289"/>
  <c r="H79" i="290"/>
  <c r="F78" i="290"/>
  <c r="F78" i="287"/>
  <c r="F85" i="290"/>
  <c r="I85" i="290" s="1"/>
  <c r="H85" i="284"/>
  <c r="H83" i="284"/>
  <c r="E37" i="284"/>
  <c r="E87" i="284" s="1"/>
  <c r="F43" i="284"/>
  <c r="F37" i="284" s="1"/>
  <c r="G43" i="284"/>
  <c r="G43" i="290"/>
  <c r="H43" i="290" s="1"/>
  <c r="H37" i="290" s="1"/>
  <c r="F43" i="290"/>
  <c r="F37" i="290" s="1"/>
  <c r="E37" i="290"/>
  <c r="E87" i="290" s="1"/>
  <c r="H84" i="285"/>
  <c r="H37" i="291"/>
  <c r="H31" i="291" s="1"/>
  <c r="H81" i="291" s="1"/>
  <c r="G43" i="285"/>
  <c r="E37" i="285"/>
  <c r="E87" i="285" s="1"/>
  <c r="F43" i="285"/>
  <c r="H83" i="287"/>
  <c r="H84" i="287"/>
  <c r="F85" i="287"/>
  <c r="I85" i="287" s="1"/>
  <c r="F37" i="291"/>
  <c r="G43" i="287"/>
  <c r="E37" i="287"/>
  <c r="E87" i="287" s="1"/>
  <c r="F43" i="287"/>
  <c r="F37" i="287" s="1"/>
  <c r="E37" i="286"/>
  <c r="F43" i="286"/>
  <c r="F37" i="286" s="1"/>
  <c r="G43" i="286"/>
  <c r="I79" i="286"/>
  <c r="E85" i="286"/>
  <c r="F85" i="286" s="1"/>
  <c r="I85" i="286" s="1"/>
  <c r="F84" i="286"/>
  <c r="I84" i="286" s="1"/>
  <c r="F85" i="288"/>
  <c r="I85" i="288" s="1"/>
  <c r="F84" i="288"/>
  <c r="I84" i="288" s="1"/>
  <c r="H83" i="288"/>
  <c r="G72" i="291"/>
  <c r="I76" i="288"/>
  <c r="F43" i="288"/>
  <c r="F37" i="288" s="1"/>
  <c r="G43" i="288"/>
  <c r="E37" i="288"/>
  <c r="E87" i="288" s="1"/>
  <c r="H79" i="286"/>
  <c r="H78" i="286" s="1"/>
  <c r="G78" i="286"/>
  <c r="I76" i="286"/>
  <c r="I76" i="287"/>
  <c r="I79" i="288"/>
  <c r="H76" i="289"/>
  <c r="G78" i="288"/>
  <c r="I79" i="290"/>
  <c r="G78" i="290"/>
  <c r="I79" i="284"/>
  <c r="I78" i="284" s="1"/>
  <c r="H76" i="286"/>
  <c r="H76" i="290"/>
  <c r="G78" i="284"/>
  <c r="I79" i="289"/>
  <c r="I78" i="289" s="1"/>
  <c r="I76" i="289"/>
  <c r="I79" i="285"/>
  <c r="I78" i="285" s="1"/>
  <c r="I76" i="284"/>
  <c r="G78" i="285"/>
  <c r="G78" i="287"/>
  <c r="I79" i="287"/>
  <c r="H86" i="288"/>
  <c r="G81" i="288"/>
  <c r="H78" i="287"/>
  <c r="M75" i="291" l="1"/>
  <c r="M83" i="291" s="1"/>
  <c r="M88" i="291" s="1"/>
  <c r="K75" i="291"/>
  <c r="K83" i="291" s="1"/>
  <c r="K88" i="291" s="1"/>
  <c r="Q77" i="291"/>
  <c r="F75" i="291"/>
  <c r="I75" i="291"/>
  <c r="I83" i="291" s="1"/>
  <c r="I88" i="291" s="1"/>
  <c r="I83" i="293"/>
  <c r="F81" i="293"/>
  <c r="F89" i="293" s="1"/>
  <c r="H81" i="293"/>
  <c r="H89" i="293" s="1"/>
  <c r="G81" i="293"/>
  <c r="G89" i="293" s="1"/>
  <c r="I86" i="293"/>
  <c r="G94" i="293"/>
  <c r="H94" i="293" s="1"/>
  <c r="I94" i="293" s="1"/>
  <c r="F94" i="293"/>
  <c r="I81" i="298"/>
  <c r="I89" i="298" s="1"/>
  <c r="S90" i="291"/>
  <c r="T90" i="291"/>
  <c r="F85" i="285"/>
  <c r="I85" i="285" s="1"/>
  <c r="T57" i="291"/>
  <c r="T89" i="291" s="1"/>
  <c r="I43" i="289"/>
  <c r="I37" i="289" s="1"/>
  <c r="G37" i="289"/>
  <c r="G55" i="289" s="1"/>
  <c r="E55" i="289"/>
  <c r="R89" i="291"/>
  <c r="U62" i="291"/>
  <c r="T62" i="291"/>
  <c r="U57" i="291"/>
  <c r="I44" i="290"/>
  <c r="F55" i="290"/>
  <c r="F55" i="288"/>
  <c r="F55" i="287"/>
  <c r="F55" i="286"/>
  <c r="Q80" i="291"/>
  <c r="R80" i="291" s="1"/>
  <c r="R74" i="291"/>
  <c r="S74" i="291"/>
  <c r="Q79" i="291"/>
  <c r="T79" i="291" s="1"/>
  <c r="Q38" i="291"/>
  <c r="F55" i="284"/>
  <c r="H44" i="289"/>
  <c r="I44" i="289"/>
  <c r="F55" i="289"/>
  <c r="H44" i="290"/>
  <c r="H55" i="290" s="1"/>
  <c r="H44" i="284"/>
  <c r="I44" i="284"/>
  <c r="H44" i="285"/>
  <c r="I44" i="285"/>
  <c r="H44" i="288"/>
  <c r="I44" i="288"/>
  <c r="I44" i="287"/>
  <c r="H44" i="286"/>
  <c r="I44" i="286"/>
  <c r="H62" i="1"/>
  <c r="F62" i="1"/>
  <c r="F85" i="284"/>
  <c r="I85" i="284" s="1"/>
  <c r="Q104" i="291"/>
  <c r="Q78" i="291"/>
  <c r="R78" i="291" s="1"/>
  <c r="H75" i="291"/>
  <c r="H83" i="291" s="1"/>
  <c r="H37" i="289"/>
  <c r="E81" i="289"/>
  <c r="E89" i="289" s="1"/>
  <c r="S70" i="291"/>
  <c r="S89" i="291"/>
  <c r="H43" i="285"/>
  <c r="G37" i="285"/>
  <c r="G55" i="285" s="1"/>
  <c r="F37" i="285"/>
  <c r="F55" i="285" s="1"/>
  <c r="E81" i="285"/>
  <c r="H83" i="285"/>
  <c r="F83" i="288"/>
  <c r="I83" i="288" s="1"/>
  <c r="I81" i="288" s="1"/>
  <c r="F84" i="287"/>
  <c r="I84" i="287" s="1"/>
  <c r="E49" i="291"/>
  <c r="E81" i="291"/>
  <c r="Q72" i="291"/>
  <c r="S73" i="291"/>
  <c r="R73" i="291"/>
  <c r="F61" i="1"/>
  <c r="G61" i="1"/>
  <c r="I83" i="286"/>
  <c r="F31" i="291"/>
  <c r="F81" i="291" s="1"/>
  <c r="Q37" i="291"/>
  <c r="F84" i="289"/>
  <c r="I84" i="289" s="1"/>
  <c r="G86" i="289"/>
  <c r="F86" i="289"/>
  <c r="G87" i="289"/>
  <c r="F87" i="289"/>
  <c r="H83" i="289"/>
  <c r="I78" i="290"/>
  <c r="H78" i="290"/>
  <c r="I78" i="287"/>
  <c r="H85" i="287"/>
  <c r="F83" i="287"/>
  <c r="I83" i="287" s="1"/>
  <c r="E81" i="290"/>
  <c r="G86" i="290"/>
  <c r="F86" i="290"/>
  <c r="F83" i="290"/>
  <c r="I83" i="290" s="1"/>
  <c r="E81" i="284"/>
  <c r="G86" i="284"/>
  <c r="G81" i="284" s="1"/>
  <c r="F86" i="284"/>
  <c r="E55" i="290"/>
  <c r="I43" i="284"/>
  <c r="I37" i="284" s="1"/>
  <c r="G37" i="284"/>
  <c r="G55" i="284" s="1"/>
  <c r="G37" i="290"/>
  <c r="G55" i="290" s="1"/>
  <c r="I43" i="290"/>
  <c r="I37" i="290" s="1"/>
  <c r="H43" i="284"/>
  <c r="H37" i="284" s="1"/>
  <c r="E55" i="284"/>
  <c r="G86" i="285"/>
  <c r="I83" i="285"/>
  <c r="I43" i="285"/>
  <c r="E55" i="285"/>
  <c r="H49" i="291"/>
  <c r="E81" i="287"/>
  <c r="E89" i="287" s="1"/>
  <c r="F86" i="287"/>
  <c r="G86" i="287"/>
  <c r="E55" i="287"/>
  <c r="H43" i="287"/>
  <c r="H37" i="287" s="1"/>
  <c r="H55" i="287" s="1"/>
  <c r="I43" i="287"/>
  <c r="I37" i="287" s="1"/>
  <c r="G37" i="287"/>
  <c r="G55" i="287" s="1"/>
  <c r="I78" i="286"/>
  <c r="H83" i="286"/>
  <c r="H43" i="286"/>
  <c r="H37" i="286" s="1"/>
  <c r="I43" i="286"/>
  <c r="I37" i="286" s="1"/>
  <c r="G37" i="286"/>
  <c r="G55" i="286" s="1"/>
  <c r="H85" i="286"/>
  <c r="E87" i="286"/>
  <c r="E55" i="286"/>
  <c r="E81" i="286"/>
  <c r="H84" i="286"/>
  <c r="G86" i="286"/>
  <c r="G81" i="286" s="1"/>
  <c r="F86" i="286"/>
  <c r="E55" i="288"/>
  <c r="H43" i="288"/>
  <c r="H37" i="288" s="1"/>
  <c r="G37" i="288"/>
  <c r="G55" i="288" s="1"/>
  <c r="I43" i="288"/>
  <c r="I37" i="288" s="1"/>
  <c r="H85" i="288"/>
  <c r="E81" i="288"/>
  <c r="E89" i="288" s="1"/>
  <c r="H84" i="288"/>
  <c r="G70" i="1"/>
  <c r="H70" i="1" s="1"/>
  <c r="F70" i="1"/>
  <c r="I78" i="288"/>
  <c r="F84" i="284"/>
  <c r="I84" i="284" s="1"/>
  <c r="H85" i="290"/>
  <c r="F84" i="290"/>
  <c r="I84" i="290" s="1"/>
  <c r="F83" i="284"/>
  <c r="I83" i="284" s="1"/>
  <c r="F85" i="289"/>
  <c r="I85" i="289" s="1"/>
  <c r="F83" i="289"/>
  <c r="I83" i="289" s="1"/>
  <c r="H85" i="285"/>
  <c r="I84" i="285"/>
  <c r="I81" i="293" l="1"/>
  <c r="I89" i="293" s="1"/>
  <c r="T70" i="291"/>
  <c r="I55" i="289"/>
  <c r="E94" i="289"/>
  <c r="M98" i="291" s="1"/>
  <c r="H55" i="289"/>
  <c r="I55" i="290"/>
  <c r="I86" i="284"/>
  <c r="I81" i="284" s="1"/>
  <c r="H81" i="288"/>
  <c r="U70" i="291"/>
  <c r="U89" i="291"/>
  <c r="R79" i="291"/>
  <c r="H55" i="284"/>
  <c r="I55" i="288"/>
  <c r="H55" i="288"/>
  <c r="S72" i="291"/>
  <c r="I55" i="287"/>
  <c r="R72" i="291"/>
  <c r="H55" i="286"/>
  <c r="T74" i="291"/>
  <c r="U74" i="291"/>
  <c r="R38" i="291"/>
  <c r="U38" i="291" s="1"/>
  <c r="I55" i="286"/>
  <c r="I86" i="286"/>
  <c r="I81" i="286" s="1"/>
  <c r="I55" i="284"/>
  <c r="T38" i="291"/>
  <c r="I62" i="1"/>
  <c r="F81" i="288"/>
  <c r="H86" i="284"/>
  <c r="H81" i="284" s="1"/>
  <c r="T78" i="291"/>
  <c r="F49" i="291"/>
  <c r="Q81" i="291"/>
  <c r="U73" i="291"/>
  <c r="I37" i="285"/>
  <c r="I55" i="285" s="1"/>
  <c r="H37" i="285"/>
  <c r="H55" i="285" s="1"/>
  <c r="I61" i="1"/>
  <c r="H61" i="1"/>
  <c r="F81" i="287"/>
  <c r="Q31" i="291"/>
  <c r="Q49" i="291" s="1"/>
  <c r="R37" i="291"/>
  <c r="R31" i="291" s="1"/>
  <c r="S37" i="291"/>
  <c r="T37" i="291" s="1"/>
  <c r="T31" i="291" s="1"/>
  <c r="T73" i="291"/>
  <c r="F81" i="286"/>
  <c r="E94" i="288"/>
  <c r="H88" i="291"/>
  <c r="F83" i="291"/>
  <c r="I86" i="289"/>
  <c r="I81" i="289" s="1"/>
  <c r="H87" i="289"/>
  <c r="I87" i="289"/>
  <c r="H86" i="289"/>
  <c r="H81" i="289" s="1"/>
  <c r="G81" i="289"/>
  <c r="G89" i="289" s="1"/>
  <c r="E94" i="287"/>
  <c r="H86" i="290"/>
  <c r="H81" i="290" s="1"/>
  <c r="I86" i="290"/>
  <c r="I81" i="290" s="1"/>
  <c r="G81" i="290"/>
  <c r="E89" i="290"/>
  <c r="E94" i="290" s="1"/>
  <c r="G87" i="284"/>
  <c r="F87" i="284"/>
  <c r="E89" i="284"/>
  <c r="E94" i="284" s="1"/>
  <c r="G87" i="290"/>
  <c r="F87" i="290"/>
  <c r="G81" i="285"/>
  <c r="I86" i="285"/>
  <c r="I81" i="285" s="1"/>
  <c r="H86" i="285"/>
  <c r="H81" i="285" s="1"/>
  <c r="E89" i="285"/>
  <c r="G87" i="285"/>
  <c r="F87" i="285"/>
  <c r="I86" i="287"/>
  <c r="I81" i="287" s="1"/>
  <c r="G81" i="287"/>
  <c r="H86" i="287"/>
  <c r="H81" i="287" s="1"/>
  <c r="F87" i="287"/>
  <c r="G87" i="287"/>
  <c r="E89" i="286"/>
  <c r="E94" i="286" s="1"/>
  <c r="F87" i="286"/>
  <c r="G87" i="286"/>
  <c r="G89" i="286" s="1"/>
  <c r="H86" i="286"/>
  <c r="H81" i="286" s="1"/>
  <c r="G87" i="288"/>
  <c r="F87" i="288"/>
  <c r="F81" i="290"/>
  <c r="G71" i="1"/>
  <c r="H71" i="1" s="1"/>
  <c r="H69" i="1" s="1"/>
  <c r="H68" i="1" s="1"/>
  <c r="F71" i="1"/>
  <c r="F69" i="1" s="1"/>
  <c r="F68" i="1" s="1"/>
  <c r="I70" i="1"/>
  <c r="F81" i="284"/>
  <c r="F81" i="289"/>
  <c r="F89" i="289" s="1"/>
  <c r="F81" i="285"/>
  <c r="E69" i="1"/>
  <c r="E68" i="1" s="1"/>
  <c r="K98" i="291" l="1"/>
  <c r="I98" i="291"/>
  <c r="G94" i="284"/>
  <c r="H94" i="284" s="1"/>
  <c r="I94" i="284" s="1"/>
  <c r="F94" i="284"/>
  <c r="F94" i="289"/>
  <c r="G94" i="289"/>
  <c r="H94" i="289" s="1"/>
  <c r="I94" i="289" s="1"/>
  <c r="G94" i="287"/>
  <c r="H94" i="287" s="1"/>
  <c r="I94" i="287" s="1"/>
  <c r="F94" i="287"/>
  <c r="F94" i="286"/>
  <c r="G94" i="286"/>
  <c r="H94" i="286" s="1"/>
  <c r="I94" i="286" s="1"/>
  <c r="F94" i="290"/>
  <c r="G94" i="290"/>
  <c r="H94" i="290" s="1"/>
  <c r="I94" i="290" s="1"/>
  <c r="G94" i="288"/>
  <c r="H94" i="288" s="1"/>
  <c r="I94" i="288" s="1"/>
  <c r="F94" i="288"/>
  <c r="R49" i="291"/>
  <c r="T72" i="291"/>
  <c r="U72" i="291"/>
  <c r="T49" i="291"/>
  <c r="F89" i="286"/>
  <c r="F89" i="287"/>
  <c r="F88" i="291"/>
  <c r="F98" i="291" s="1"/>
  <c r="S81" i="291"/>
  <c r="T81" i="291" s="1"/>
  <c r="R81" i="291"/>
  <c r="I89" i="289"/>
  <c r="U37" i="291"/>
  <c r="U31" i="291" s="1"/>
  <c r="U49" i="291" s="1"/>
  <c r="S31" i="291"/>
  <c r="S49" i="291" s="1"/>
  <c r="H89" i="289"/>
  <c r="I87" i="290"/>
  <c r="I89" i="290" s="1"/>
  <c r="I87" i="284"/>
  <c r="I89" i="284" s="1"/>
  <c r="F89" i="290"/>
  <c r="H87" i="290"/>
  <c r="H89" i="290" s="1"/>
  <c r="G89" i="290"/>
  <c r="F89" i="284"/>
  <c r="H87" i="284"/>
  <c r="H89" i="284" s="1"/>
  <c r="G89" i="284"/>
  <c r="E94" i="285"/>
  <c r="F89" i="285"/>
  <c r="I87" i="285"/>
  <c r="I89" i="285" s="1"/>
  <c r="H87" i="285"/>
  <c r="H89" i="285" s="1"/>
  <c r="G89" i="285"/>
  <c r="H87" i="287"/>
  <c r="H89" i="287" s="1"/>
  <c r="I87" i="287"/>
  <c r="I89" i="287" s="1"/>
  <c r="G89" i="287"/>
  <c r="H87" i="286"/>
  <c r="H89" i="286" s="1"/>
  <c r="I87" i="286"/>
  <c r="I89" i="286" s="1"/>
  <c r="I87" i="288"/>
  <c r="I89" i="288" s="1"/>
  <c r="H87" i="288"/>
  <c r="H89" i="288" s="1"/>
  <c r="G89" i="288"/>
  <c r="F89" i="288"/>
  <c r="I71" i="1"/>
  <c r="I69" i="1" s="1"/>
  <c r="I68" i="1" s="1"/>
  <c r="G69" i="1"/>
  <c r="G68" i="1" s="1"/>
  <c r="E55" i="1"/>
  <c r="H98" i="291" l="1"/>
  <c r="G94" i="285"/>
  <c r="H94" i="285" s="1"/>
  <c r="I94" i="285" s="1"/>
  <c r="F94" i="285"/>
  <c r="E101" i="1"/>
  <c r="G147" i="1" l="1"/>
  <c r="F147" i="1"/>
  <c r="G149" i="1"/>
  <c r="F149" i="1"/>
  <c r="G148" i="1"/>
  <c r="F148" i="1"/>
  <c r="G146" i="1"/>
  <c r="F146" i="1"/>
  <c r="F16" i="1"/>
  <c r="G16" i="1"/>
  <c r="F101" i="1"/>
  <c r="G101" i="1"/>
  <c r="I16" i="1" l="1"/>
  <c r="H16" i="1"/>
  <c r="H101" i="1"/>
  <c r="I101" i="1"/>
  <c r="E48" i="1" l="1"/>
  <c r="E73" i="1" s="1"/>
  <c r="E46" i="1"/>
  <c r="F123" i="1"/>
  <c r="F46" i="1"/>
  <c r="F15" i="1"/>
  <c r="F43" i="1" s="1"/>
  <c r="B111" i="282"/>
  <c r="D90" i="1"/>
  <c r="B64" i="277" s="1"/>
  <c r="D92" i="1"/>
  <c r="B99" i="279" s="1"/>
  <c r="D93" i="1"/>
  <c r="B97" i="292" s="1"/>
  <c r="B108" i="278"/>
  <c r="B74" i="277"/>
  <c r="B113" i="279" l="1"/>
  <c r="F48" i="1"/>
  <c r="F55" i="1"/>
  <c r="H46" i="1"/>
  <c r="G46" i="1"/>
  <c r="D91" i="1"/>
  <c r="B93" i="278" s="1"/>
  <c r="E134" i="1"/>
  <c r="L134" i="1" s="1"/>
  <c r="G123" i="1"/>
  <c r="G15" i="1"/>
  <c r="G43" i="1" s="1"/>
  <c r="F88" i="1" l="1"/>
  <c r="G48" i="1"/>
  <c r="H15" i="1"/>
  <c r="H43" i="1" s="1"/>
  <c r="G55" i="1"/>
  <c r="H123" i="1"/>
  <c r="E88" i="1"/>
  <c r="I46" i="1"/>
  <c r="H55" i="1" l="1"/>
  <c r="H48" i="1"/>
  <c r="I48" i="1"/>
  <c r="I55" i="1"/>
  <c r="G88" i="1"/>
  <c r="I15" i="1"/>
  <c r="I43" i="1" s="1"/>
  <c r="I88" i="1" l="1"/>
  <c r="I123" i="1" l="1"/>
  <c r="D89" i="1" l="1"/>
  <c r="B93" i="276" s="1"/>
  <c r="D102" i="1" l="1"/>
  <c r="B109" i="276" s="1"/>
  <c r="E16" i="1" l="1"/>
  <c r="E43" i="1" l="1"/>
  <c r="G73" i="1" l="1"/>
  <c r="F73" i="1" l="1"/>
  <c r="H73" i="1" l="1"/>
  <c r="I73" i="1"/>
  <c r="U79" i="291" l="1"/>
  <c r="U78" i="291"/>
  <c r="U81" i="291" l="1"/>
  <c r="S80" i="291" l="1"/>
  <c r="E75" i="291"/>
  <c r="F101" i="291"/>
  <c r="F104" i="291" s="1"/>
  <c r="G75" i="291"/>
  <c r="H101" i="291"/>
  <c r="H104" i="291" s="1"/>
  <c r="I101" i="291"/>
  <c r="I104" i="291" s="1"/>
  <c r="O101" i="291"/>
  <c r="O104" i="291" s="1"/>
  <c r="P101" i="291"/>
  <c r="P104" i="291" s="1"/>
  <c r="E83" i="291" l="1"/>
  <c r="T80" i="291"/>
  <c r="U80" i="291"/>
  <c r="S75" i="291"/>
  <c r="S83" i="291" s="1"/>
  <c r="G83" i="291"/>
  <c r="G88" i="291" s="1"/>
  <c r="E88" i="291" l="1"/>
  <c r="E98" i="291" s="1"/>
  <c r="Q85" i="291"/>
  <c r="T77" i="291"/>
  <c r="T75" i="291" s="1"/>
  <c r="T83" i="291" s="1"/>
  <c r="R77" i="291"/>
  <c r="Q75" i="291"/>
  <c r="G98" i="291"/>
  <c r="Q83" i="291" l="1"/>
  <c r="S85" i="291"/>
  <c r="R85" i="291"/>
  <c r="R87" i="291" s="1"/>
  <c r="Q87" i="291"/>
  <c r="U77" i="291"/>
  <c r="U75" i="291" s="1"/>
  <c r="U83" i="291" s="1"/>
  <c r="R75" i="291"/>
  <c r="R83" i="291" s="1"/>
  <c r="Q88" i="291" l="1"/>
  <c r="Q98" i="291" s="1"/>
  <c r="R88" i="291"/>
  <c r="T85" i="291"/>
  <c r="T87" i="291" s="1"/>
  <c r="T88" i="291" s="1"/>
  <c r="S87" i="291"/>
  <c r="S88" i="291" s="1"/>
  <c r="U85" i="291"/>
  <c r="U87" i="291" s="1"/>
  <c r="U88" i="291" s="1"/>
  <c r="D50" i="276" l="1"/>
  <c r="D131" i="276" s="1"/>
  <c r="E106" i="291" s="1"/>
  <c r="D132" i="276" l="1"/>
  <c r="D133" i="276" s="1"/>
  <c r="H59" i="276"/>
  <c r="C50" i="276"/>
  <c r="C131" i="276" s="1"/>
  <c r="O96" i="286" s="1"/>
  <c r="E76" i="1"/>
  <c r="G76" i="1" l="1"/>
  <c r="H76" i="1" s="1"/>
  <c r="F76" i="1"/>
  <c r="C132" i="276"/>
  <c r="C133" i="276" s="1"/>
  <c r="H48" i="277"/>
  <c r="C39" i="277"/>
  <c r="C90" i="277" s="1"/>
  <c r="E77" i="1"/>
  <c r="G77" i="1" s="1"/>
  <c r="I76" i="1" l="1"/>
  <c r="C91" i="277"/>
  <c r="C92" i="277" s="1"/>
  <c r="O96" i="287"/>
  <c r="F77" i="1"/>
  <c r="H77" i="1"/>
  <c r="I77" i="1" l="1"/>
  <c r="D39" i="277" l="1"/>
  <c r="D90" i="277" s="1"/>
  <c r="F106" i="291" s="1"/>
  <c r="D91" i="277" l="1"/>
  <c r="D92" i="277" s="1"/>
  <c r="H57" i="278"/>
  <c r="C48" i="278"/>
  <c r="C129" i="278" s="1"/>
  <c r="E78" i="1"/>
  <c r="G78" i="1" s="1"/>
  <c r="F78" i="1" l="1"/>
  <c r="I78" i="1" s="1"/>
  <c r="C130" i="278"/>
  <c r="C131" i="278" s="1"/>
  <c r="O96" i="288"/>
  <c r="H78" i="1"/>
  <c r="D48" i="278" l="1"/>
  <c r="D129" i="278" s="1"/>
  <c r="G106" i="291" s="1"/>
  <c r="D130" i="278" l="1"/>
  <c r="D131" i="278" s="1"/>
  <c r="H61" i="279"/>
  <c r="C52" i="279"/>
  <c r="C132" i="279" s="1"/>
  <c r="E79" i="1"/>
  <c r="F79" i="1" s="1"/>
  <c r="O96" i="285" l="1"/>
  <c r="C133" i="279"/>
  <c r="C134" i="279" s="1"/>
  <c r="G79" i="1"/>
  <c r="I79" i="1" l="1"/>
  <c r="H79" i="1"/>
  <c r="D52" i="279" l="1"/>
  <c r="D132" i="279" s="1"/>
  <c r="H106" i="291" s="1"/>
  <c r="D133" i="279" l="1"/>
  <c r="D134" i="279" s="1"/>
  <c r="E80" i="1"/>
  <c r="G80" i="1" s="1"/>
  <c r="C48" i="292"/>
  <c r="C130" i="292" s="1"/>
  <c r="O96" i="284" s="1"/>
  <c r="H57" i="292"/>
  <c r="C131" i="292" l="1"/>
  <c r="C132" i="292" s="1"/>
  <c r="F80" i="1"/>
  <c r="H80" i="1"/>
  <c r="I80" i="1" l="1"/>
  <c r="D48" i="292" l="1"/>
  <c r="D130" i="292" s="1"/>
  <c r="D131" i="292" l="1"/>
  <c r="I106" i="291"/>
  <c r="D132" i="292"/>
  <c r="E81" i="1"/>
  <c r="C51" i="280"/>
  <c r="C132" i="280" s="1"/>
  <c r="O96" i="293" s="1"/>
  <c r="H60" i="280"/>
  <c r="C133" i="280" l="1"/>
  <c r="C134" i="280" s="1"/>
  <c r="F81" i="1"/>
  <c r="G81" i="1"/>
  <c r="H81" i="1" s="1"/>
  <c r="I81" i="1" l="1"/>
  <c r="D51" i="280" l="1"/>
  <c r="D132" i="280" s="1"/>
  <c r="J106" i="291" s="1"/>
  <c r="D133" i="280" l="1"/>
  <c r="D134" i="280" s="1"/>
  <c r="H57" i="282"/>
  <c r="C48" i="282"/>
  <c r="C131" i="282" s="1"/>
  <c r="E82" i="1"/>
  <c r="C132" i="282" l="1"/>
  <c r="C133" i="282" s="1"/>
  <c r="O96" i="290"/>
  <c r="F82" i="1"/>
  <c r="G82" i="1"/>
  <c r="I82" i="1" l="1"/>
  <c r="H82" i="1"/>
  <c r="D48" i="282" l="1"/>
  <c r="D131" i="282" s="1"/>
  <c r="K106" i="291" s="1"/>
  <c r="D132" i="282" l="1"/>
  <c r="D133" i="282" s="1"/>
  <c r="H58" i="294"/>
  <c r="C49" i="294"/>
  <c r="C138" i="294" s="1"/>
  <c r="O96" i="295" s="1"/>
  <c r="E83" i="1"/>
  <c r="G83" i="1" s="1"/>
  <c r="F83" i="1" l="1"/>
  <c r="I83" i="1" s="1"/>
  <c r="H83" i="1"/>
  <c r="C139" i="294"/>
  <c r="C140" i="294" s="1"/>
  <c r="D49" i="294" l="1"/>
  <c r="D138" i="294" s="1"/>
  <c r="D139" i="294" l="1"/>
  <c r="L106" i="291"/>
  <c r="D140" i="294"/>
  <c r="H56" i="281"/>
  <c r="C47" i="281"/>
  <c r="C131" i="281" s="1"/>
  <c r="E84" i="1"/>
  <c r="F84" i="1" s="1"/>
  <c r="O96" i="289" l="1"/>
  <c r="C132" i="281"/>
  <c r="C133" i="281" s="1"/>
  <c r="G84" i="1"/>
  <c r="I84" i="1" l="1"/>
  <c r="H84" i="1"/>
  <c r="D47" i="281" l="1"/>
  <c r="D131" i="281" s="1"/>
  <c r="M106" i="291" l="1"/>
  <c r="D132" i="281"/>
  <c r="D133" i="281" s="1"/>
  <c r="H50" i="296"/>
  <c r="C41" i="296"/>
  <c r="C118" i="296" s="1"/>
  <c r="O96" i="298" s="1"/>
  <c r="E85" i="1"/>
  <c r="F85" i="1" l="1"/>
  <c r="G85" i="1"/>
  <c r="C119" i="296"/>
  <c r="C120" i="296" s="1"/>
  <c r="I85" i="1" l="1"/>
  <c r="H85" i="1"/>
  <c r="D41" i="296"/>
  <c r="D118" i="296" s="1"/>
  <c r="D119" i="296" l="1"/>
  <c r="N106" i="291"/>
  <c r="D120" i="296"/>
  <c r="H70" i="297"/>
  <c r="C61" i="297"/>
  <c r="C140" i="297" s="1"/>
  <c r="E86" i="1"/>
  <c r="F86" i="1" s="1"/>
  <c r="C141" i="297" l="1"/>
  <c r="O96" i="299"/>
  <c r="C142" i="297"/>
  <c r="G86" i="1"/>
  <c r="I86" i="1" l="1"/>
  <c r="H86" i="1"/>
  <c r="D61" i="297" l="1"/>
  <c r="D140" i="297" s="1"/>
  <c r="D141" i="297" l="1"/>
  <c r="D142" i="297" s="1"/>
  <c r="O106" i="291"/>
  <c r="H65" i="300"/>
  <c r="C56" i="300"/>
  <c r="C134" i="300" s="1"/>
  <c r="O96" i="301" s="1"/>
  <c r="E87" i="1"/>
  <c r="F87" i="1" s="1"/>
  <c r="F75" i="1" s="1"/>
  <c r="C135" i="300" l="1"/>
  <c r="C136" i="300" s="1"/>
  <c r="F117" i="1"/>
  <c r="G87" i="1"/>
  <c r="H87" i="1" s="1"/>
  <c r="H75" i="1" s="1"/>
  <c r="E75" i="1"/>
  <c r="H117" i="1" l="1"/>
  <c r="E120" i="1"/>
  <c r="E125" i="1" s="1"/>
  <c r="L125" i="1" s="1"/>
  <c r="E137" i="1"/>
  <c r="E117" i="1"/>
  <c r="G75" i="1"/>
  <c r="I87" i="1"/>
  <c r="I75" i="1" s="1"/>
  <c r="E136" i="1" l="1"/>
  <c r="L136" i="1" s="1"/>
  <c r="E127" i="1"/>
  <c r="L127" i="1" s="1"/>
  <c r="E124" i="1"/>
  <c r="L124" i="1" s="1"/>
  <c r="E128" i="1"/>
  <c r="L128" i="1" s="1"/>
  <c r="I117" i="1"/>
  <c r="G117" i="1"/>
  <c r="G137" i="1"/>
  <c r="H137" i="1" s="1"/>
  <c r="I137" i="1" s="1"/>
  <c r="F137" i="1"/>
  <c r="F120" i="1"/>
  <c r="G120" i="1"/>
  <c r="G136" i="1" s="1"/>
  <c r="E119" i="1"/>
  <c r="H120" i="1" l="1"/>
  <c r="H119" i="1" s="1"/>
  <c r="G127" i="1"/>
  <c r="H127" i="1" s="1"/>
  <c r="F127" i="1"/>
  <c r="E126" i="1"/>
  <c r="L126" i="1" s="1"/>
  <c r="F119" i="1"/>
  <c r="F136" i="1"/>
  <c r="G128" i="1"/>
  <c r="F128" i="1"/>
  <c r="G119" i="1"/>
  <c r="I120" i="1"/>
  <c r="H136" i="1" l="1"/>
  <c r="I119" i="1"/>
  <c r="I136" i="1"/>
  <c r="F125" i="1"/>
  <c r="I125" i="1" s="1"/>
  <c r="H125" i="1"/>
  <c r="I128" i="1"/>
  <c r="H126" i="1"/>
  <c r="F126" i="1"/>
  <c r="I126" i="1" s="1"/>
  <c r="H128" i="1"/>
  <c r="F124" i="1"/>
  <c r="H124" i="1"/>
  <c r="E122" i="1"/>
  <c r="L122" i="1" s="1"/>
  <c r="G122" i="1"/>
  <c r="G130" i="1" s="1"/>
  <c r="G135" i="1" s="1"/>
  <c r="I127" i="1"/>
  <c r="F122" i="1" l="1"/>
  <c r="F130" i="1" s="1"/>
  <c r="F135" i="1" s="1"/>
  <c r="I124" i="1"/>
  <c r="I122" i="1" s="1"/>
  <c r="I130" i="1" s="1"/>
  <c r="I135" i="1" s="1"/>
  <c r="E130" i="1"/>
  <c r="L130" i="1" s="1"/>
  <c r="H122" i="1"/>
  <c r="H130" i="1" s="1"/>
  <c r="H135" i="1" s="1"/>
  <c r="E135" i="1" l="1"/>
  <c r="D56" i="300"/>
  <c r="D134" i="300" s="1"/>
  <c r="P106" i="291" s="1"/>
  <c r="L135" i="1" l="1"/>
  <c r="E155" i="1"/>
  <c r="D135" i="300"/>
  <c r="D136" i="300" s="1"/>
</calcChain>
</file>

<file path=xl/sharedStrings.xml><?xml version="1.0" encoding="utf-8"?>
<sst xmlns="http://schemas.openxmlformats.org/spreadsheetml/2006/main" count="6179" uniqueCount="1878">
  <si>
    <t>DELGAZ-GRID S.A. - TARGU MURES</t>
  </si>
  <si>
    <t xml:space="preserve">LUCRAREA NR.:  </t>
  </si>
  <si>
    <t>D E V I Z   G E N E R A L</t>
  </si>
  <si>
    <t xml:space="preserve">cota TVA: </t>
  </si>
  <si>
    <t>privind cheltuielile necesare realizării obiectivului:</t>
  </si>
  <si>
    <t>în lei / EURO la cursul Inforeuro din luna:</t>
  </si>
  <si>
    <t>lei</t>
  </si>
  <si>
    <t>Intocmit cf. HG 907/2016</t>
  </si>
  <si>
    <t>Scenariul 1</t>
  </si>
  <si>
    <t>%</t>
  </si>
  <si>
    <t>DENUMIREA CAPITOLELOR ŞI SUBCAPITOLELOR DE CHELTUIELI</t>
  </si>
  <si>
    <t>Valoare (fără TVA)</t>
  </si>
  <si>
    <t>TVA</t>
  </si>
  <si>
    <t>Valoare</t>
  </si>
  <si>
    <t>Nr.</t>
  </si>
  <si>
    <t>crt.</t>
  </si>
  <si>
    <t>(inclusiv TVA)</t>
  </si>
  <si>
    <t>LEI</t>
  </si>
  <si>
    <t>EURO</t>
  </si>
  <si>
    <t>PARTEA I</t>
  </si>
  <si>
    <t>CAPITOLUL 1: Cheltuieli pentru obţinerea şi amenajarea terenului</t>
  </si>
  <si>
    <t>1.1</t>
  </si>
  <si>
    <t>Obţinerea terenului</t>
  </si>
  <si>
    <t>1.2</t>
  </si>
  <si>
    <t>Amenajarea terenului</t>
  </si>
  <si>
    <t>1.2.1</t>
  </si>
  <si>
    <t>- obiectul nr.1</t>
  </si>
  <si>
    <t>1.2.2</t>
  </si>
  <si>
    <t>- obiectul nr.2</t>
  </si>
  <si>
    <t>1.2.3</t>
  </si>
  <si>
    <t>- obiectul nr.3</t>
  </si>
  <si>
    <t>1.2.4</t>
  </si>
  <si>
    <t>- obiectul nr.4</t>
  </si>
  <si>
    <t>1.2.5</t>
  </si>
  <si>
    <t>- obiectul nr.5</t>
  </si>
  <si>
    <t>1.2.6</t>
  </si>
  <si>
    <t>- obiectul nr.6</t>
  </si>
  <si>
    <t>1.2.7</t>
  </si>
  <si>
    <t>- obiectul nr.7</t>
  </si>
  <si>
    <t>1.3</t>
  </si>
  <si>
    <t>Amenajări protecţia mediului şi aducerea la starea iniţială</t>
  </si>
  <si>
    <t>1.3.1</t>
  </si>
  <si>
    <t>1.3.2</t>
  </si>
  <si>
    <t>1.3.3</t>
  </si>
  <si>
    <t>1.3.4</t>
  </si>
  <si>
    <t>1.3.5</t>
  </si>
  <si>
    <t>1.3.6</t>
  </si>
  <si>
    <t>1.3.7</t>
  </si>
  <si>
    <t>Cheltuieli pentru relocarea/protectia utilitatilor</t>
  </si>
  <si>
    <t>TOTAL CAPITOL 1</t>
  </si>
  <si>
    <t>CAPITOLUL 2: Cheltuieli pentru asig. utilităţilor necesare obiectivului</t>
  </si>
  <si>
    <t>Cheltuieli pentru asig. utilităţilor necesare obiectivului</t>
  </si>
  <si>
    <t>TOTAL CAPITOL 2</t>
  </si>
  <si>
    <t>CAPITOLUL 3: Cheltuieli pentru proiectare şi asistenţă tehnică</t>
  </si>
  <si>
    <t>3.1</t>
  </si>
  <si>
    <t xml:space="preserve">Studii </t>
  </si>
  <si>
    <t>3.1.1</t>
  </si>
  <si>
    <t>Studii de teren</t>
  </si>
  <si>
    <t>3.1.2</t>
  </si>
  <si>
    <t>Raport privind impactul asupra mediului</t>
  </si>
  <si>
    <t>3.1.3</t>
  </si>
  <si>
    <t>Alte studii specifice</t>
  </si>
  <si>
    <t>3.2</t>
  </si>
  <si>
    <t>Documentatii suport si cheltuieli pentru obtinerea de avize, acorduri si autorizatii</t>
  </si>
  <si>
    <t>3.3</t>
  </si>
  <si>
    <t>Expertiza tehnica</t>
  </si>
  <si>
    <t>3.4</t>
  </si>
  <si>
    <t>Certificarea performantei energetice si auditul energetic al cladirilor</t>
  </si>
  <si>
    <t>3.5.</t>
  </si>
  <si>
    <t>Proiectare</t>
  </si>
  <si>
    <t>3.5.1. Tema de proiectare</t>
  </si>
  <si>
    <t>3.5.2. Studiu de prefezabilitate</t>
  </si>
  <si>
    <t>3.5.3. Studiu de fezabilitate/documentatie de avizare a lucrarilor de interventii si deviz general</t>
  </si>
  <si>
    <t>3.5.4. Documentatiile tehnice necesare in vederea obtinerii avizelor/acordurilor/ autorizatiilor</t>
  </si>
  <si>
    <t>3.5.5. Verificarea tehnica de calitate a proiectului tehnic si a detaliilor de executie</t>
  </si>
  <si>
    <t>3.5.6. Proiect tehnic si detalii de executie</t>
  </si>
  <si>
    <t>3.6.</t>
  </si>
  <si>
    <t>Organizarea procedurilor de achizitie</t>
  </si>
  <si>
    <t>3.7.</t>
  </si>
  <si>
    <t>Consultanta</t>
  </si>
  <si>
    <t>3.7.1. Managementul de proiect pentru obiectivul de investitii</t>
  </si>
  <si>
    <t>3.7.1.1. Managementul de proiect</t>
  </si>
  <si>
    <t>3.7.1.2. Consultanta Externa</t>
  </si>
  <si>
    <t>3.7.2. Auditul financiar</t>
  </si>
  <si>
    <t>3.8.</t>
  </si>
  <si>
    <t>Asistenta tehnica</t>
  </si>
  <si>
    <r>
      <t xml:space="preserve">3.8.1. </t>
    </r>
    <r>
      <rPr>
        <sz val="9"/>
        <rFont val="Times New Roman"/>
        <family val="1"/>
      </rPr>
      <t>Asistenta tehnica din partea proiectantului</t>
    </r>
  </si>
  <si>
    <r>
      <t xml:space="preserve">3.8.1.1. </t>
    </r>
    <r>
      <rPr>
        <sz val="9"/>
        <rFont val="Times New Roman"/>
        <family val="1"/>
      </rPr>
      <t>pe perioada de executie a lucrarilor</t>
    </r>
  </si>
  <si>
    <r>
      <t xml:space="preserve">3.8.1.2. </t>
    </r>
    <r>
      <rPr>
        <sz val="9"/>
        <rFont val="Times New Roman"/>
        <family val="1"/>
      </rPr>
      <t>pentru participarea proiectantului la fazele incluse in programul de control al lucrarilor de executie, avizat de catre I.S.C.</t>
    </r>
  </si>
  <si>
    <r>
      <t xml:space="preserve">3.8.2. </t>
    </r>
    <r>
      <rPr>
        <sz val="9"/>
        <rFont val="Times New Roman"/>
        <family val="1"/>
      </rPr>
      <t>Dirigentie de santier</t>
    </r>
  </si>
  <si>
    <t>TOTAL CAPITOL 3</t>
  </si>
  <si>
    <t>CAPITOLUL 4: Cheltuieli pentru investiţia de bază</t>
  </si>
  <si>
    <t>4.1</t>
  </si>
  <si>
    <t>Construcţii şi instalaţii:</t>
  </si>
  <si>
    <t>4.1.1</t>
  </si>
  <si>
    <t>4.1.2</t>
  </si>
  <si>
    <t>4.1.3</t>
  </si>
  <si>
    <t>4.1.4</t>
  </si>
  <si>
    <t>4.1.5</t>
  </si>
  <si>
    <t>4.1.6</t>
  </si>
  <si>
    <t>4.1.7</t>
  </si>
  <si>
    <t>4.2</t>
  </si>
  <si>
    <t>Montaj utilaje tehnologice:</t>
  </si>
  <si>
    <t>4.2.1</t>
  </si>
  <si>
    <t>4.2.2</t>
  </si>
  <si>
    <t>4.2.3</t>
  </si>
  <si>
    <t>4.2.4</t>
  </si>
  <si>
    <t>4.2.5</t>
  </si>
  <si>
    <t>4.2.6</t>
  </si>
  <si>
    <t>4.2.7</t>
  </si>
  <si>
    <t>4.3</t>
  </si>
  <si>
    <t>Utilaje, echipamente tehnologice şi funcţionale cu montaj:</t>
  </si>
  <si>
    <t>4.3.1</t>
  </si>
  <si>
    <t>4.3.2</t>
  </si>
  <si>
    <t>4.3.3</t>
  </si>
  <si>
    <t>4.3.4</t>
  </si>
  <si>
    <t>4.3.5</t>
  </si>
  <si>
    <t>4.3.6</t>
  </si>
  <si>
    <t>4.3.7</t>
  </si>
  <si>
    <t>4.4</t>
  </si>
  <si>
    <t>Utilaje fără montaj şi echipamente de transport:</t>
  </si>
  <si>
    <t>4.5</t>
  </si>
  <si>
    <t>Dotări:</t>
  </si>
  <si>
    <t>4.6</t>
  </si>
  <si>
    <t>Active necorporale:</t>
  </si>
  <si>
    <t>TOTAL CAPITOL 4:</t>
  </si>
  <si>
    <t>CAPITOLUL 5: Alte cheltuieli</t>
  </si>
  <si>
    <t>5.1</t>
  </si>
  <si>
    <t>Organizare de şantier:</t>
  </si>
  <si>
    <t>5.1.1.</t>
  </si>
  <si>
    <t>Lucrări de construcţii</t>
  </si>
  <si>
    <t>5.1.2.</t>
  </si>
  <si>
    <t>Cheltuieli conexe organizării şantierului</t>
  </si>
  <si>
    <t>5.2</t>
  </si>
  <si>
    <t>Comisioane, cote, taxe, costul creditului</t>
  </si>
  <si>
    <t>5.2.1.</t>
  </si>
  <si>
    <t xml:space="preserve">Comisioanele şi dobânzile aferente creditului băncii finanţatoare            </t>
  </si>
  <si>
    <t>5.2.2.</t>
  </si>
  <si>
    <t>5.2.3.</t>
  </si>
  <si>
    <t>5.2.4.</t>
  </si>
  <si>
    <t>Contribuţia pt. Casa Socială a Constructorilor -CSC 0,5%</t>
  </si>
  <si>
    <t>5.2.5.</t>
  </si>
  <si>
    <t>Taxe pentru acorduri, avize conforme si autorizatia de construire/desfiintare</t>
  </si>
  <si>
    <t>5.3</t>
  </si>
  <si>
    <t>Cheltuieli diverse şi neprevăzute</t>
  </si>
  <si>
    <t>Cheltuieli pentru informare si publicitate</t>
  </si>
  <si>
    <t>TOTAL CAPITOL 5:</t>
  </si>
  <si>
    <t>CAPITOLUL 6: Cheltuieli pentru probe tehn. şi teste şi predare la beneficiar</t>
  </si>
  <si>
    <t>6.1</t>
  </si>
  <si>
    <t>Pregatirea personalului de exploatare</t>
  </si>
  <si>
    <t>6.2</t>
  </si>
  <si>
    <t>Probe tehnologice şi teste</t>
  </si>
  <si>
    <t>TOTAL CAPITOL 6</t>
  </si>
  <si>
    <t xml:space="preserve">            TOTAL GENERAL</t>
  </si>
  <si>
    <t xml:space="preserve">            din care C+M</t>
  </si>
  <si>
    <t xml:space="preserve"> Întocmit,</t>
  </si>
  <si>
    <t>TOTAL</t>
  </si>
  <si>
    <t>Constructii si instalatii</t>
  </si>
  <si>
    <t>Provizorate</t>
  </si>
  <si>
    <t xml:space="preserve">  Întocmit,        </t>
  </si>
  <si>
    <t>Total</t>
  </si>
  <si>
    <t>C+M DG</t>
  </si>
  <si>
    <t>C+M F</t>
  </si>
  <si>
    <t>C+I</t>
  </si>
  <si>
    <t>MU</t>
  </si>
  <si>
    <t>U</t>
  </si>
  <si>
    <t>TOTAL lucrari</t>
  </si>
  <si>
    <t>C+M</t>
  </si>
  <si>
    <t xml:space="preserve">DELGAZ-GRID S.A. </t>
  </si>
  <si>
    <t>LUCRAREA NR.:</t>
  </si>
  <si>
    <t>Serviciul proiectare si optimizare retea electricitat</t>
  </si>
  <si>
    <t>Formularul F1 - Centralizatorul cheltuielilor pe obiectiv</t>
  </si>
  <si>
    <t>Nr. cap./subcap.
DG</t>
  </si>
  <si>
    <t>Denumirea capitolelor şi subcapitolelor de cheltuieli</t>
  </si>
  <si>
    <t>Valoarea cheltuielilor pe obiect (exclusiv TVA)</t>
  </si>
  <si>
    <t>Din care: C+M</t>
  </si>
  <si>
    <t>Obţinerea şi amenajarea terenului</t>
  </si>
  <si>
    <t>1.2.1.1</t>
  </si>
  <si>
    <t>1.2.1.2</t>
  </si>
  <si>
    <t>1.2.1.3</t>
  </si>
  <si>
    <t>1.2.1.4</t>
  </si>
  <si>
    <t>1.2.1.5</t>
  </si>
  <si>
    <t>1.2.1.6</t>
  </si>
  <si>
    <t>1.2.1.7</t>
  </si>
  <si>
    <t>1.2.1.8</t>
  </si>
  <si>
    <t>Amenajari pentru protectia mediului si aducerea terenului la starea initiala</t>
  </si>
  <si>
    <t>LUCRARI DE PROTECTIA MEDIULUI</t>
  </si>
  <si>
    <t>1.4</t>
  </si>
  <si>
    <t>2</t>
  </si>
  <si>
    <t>Realizarea utilităților necesare obiectivului</t>
  </si>
  <si>
    <t>3.5</t>
  </si>
  <si>
    <t>3.5.1</t>
  </si>
  <si>
    <t>Tema de proiectare</t>
  </si>
  <si>
    <t>3.5.2</t>
  </si>
  <si>
    <t>Studiu de prefezabilitate</t>
  </si>
  <si>
    <t>3.5.3</t>
  </si>
  <si>
    <t>Studiu de fezabilitate/documentatie de avizare a lucrarilor de interventii si deviz general</t>
  </si>
  <si>
    <t>3.5.4</t>
  </si>
  <si>
    <t>Documentatiile tehnice necesare in vederea obtinerii avizelor/acordurilor/autorizatiilor</t>
  </si>
  <si>
    <t>3.5.5</t>
  </si>
  <si>
    <t>Verificarea tehnica de calitate a proiectului tehnic si a detaliilor de executie</t>
  </si>
  <si>
    <t>3.5.6</t>
  </si>
  <si>
    <t>Proiect tehnic si detalii de executie</t>
  </si>
  <si>
    <t>4</t>
  </si>
  <si>
    <t>Investiția de bază</t>
  </si>
  <si>
    <t xml:space="preserve">              DEMONTARE CIRCUITE PRIMARE 110 kV</t>
  </si>
  <si>
    <t xml:space="preserve">              DEMONTARE CIRCUITE SECUNDARE</t>
  </si>
  <si>
    <t xml:space="preserve">              FUNDATII DESCARCATOARE 110 kV</t>
  </si>
  <si>
    <t xml:space="preserve">              FUNDATII TT 110 kV</t>
  </si>
  <si>
    <t xml:space="preserve">              FUNDATII SEPARATOARE  110 kV</t>
  </si>
  <si>
    <t>4.1.1.23</t>
  </si>
  <si>
    <t>4.1.1.24</t>
  </si>
  <si>
    <t>4.1.1.25</t>
  </si>
  <si>
    <t xml:space="preserve">              FUNDATII CUTII CLEME</t>
  </si>
  <si>
    <t>4.1.1.26</t>
  </si>
  <si>
    <t>4.1.1.27</t>
  </si>
  <si>
    <t>4.1.1.28</t>
  </si>
  <si>
    <t>4.1.1.29</t>
  </si>
  <si>
    <t xml:space="preserve">              REPARARE PARATRASNETE</t>
  </si>
  <si>
    <t>4.1.1.30</t>
  </si>
  <si>
    <t xml:space="preserve">              DALE CANAL CABLURI</t>
  </si>
  <si>
    <t>4.1.1.31</t>
  </si>
  <si>
    <t>4.1.1.32</t>
  </si>
  <si>
    <t>4.1.1.33</t>
  </si>
  <si>
    <t>4.1.1.34</t>
  </si>
  <si>
    <t>4.1.1.35</t>
  </si>
  <si>
    <t>4.1.1.36</t>
  </si>
  <si>
    <t>4.1.1.37</t>
  </si>
  <si>
    <t xml:space="preserve">              TIMPLARIE (USI, FERESTRE, GRATII)</t>
  </si>
  <si>
    <t>4.1.1.38</t>
  </si>
  <si>
    <t xml:space="preserve">              FUNDATII STILPI ILUMINAT</t>
  </si>
  <si>
    <t>4.1.1.39</t>
  </si>
  <si>
    <t xml:space="preserve">              FUNDATIE CONTAINER BK</t>
  </si>
  <si>
    <t>4.1.1.40</t>
  </si>
  <si>
    <t>4.1.1.41</t>
  </si>
  <si>
    <t>4.1.1.42</t>
  </si>
  <si>
    <t>4.1.1.43</t>
  </si>
  <si>
    <t>4.1.1.44</t>
  </si>
  <si>
    <t xml:space="preserve">              CIRCUITE PRIMARE 110 kV</t>
  </si>
  <si>
    <t>4.1.1.45</t>
  </si>
  <si>
    <t>4.1.1.46</t>
  </si>
  <si>
    <t>4.1.1.47</t>
  </si>
  <si>
    <t>4.1.1.48</t>
  </si>
  <si>
    <t>4.1.1.49</t>
  </si>
  <si>
    <t xml:space="preserve">              BATERIE DE CONDENSATOARE</t>
  </si>
  <si>
    <t>4.1.1.50</t>
  </si>
  <si>
    <t xml:space="preserve">              CIRCUITE SECUNDARE SERVICII INTERNE CURENT ALTERNATIV</t>
  </si>
  <si>
    <t>4.1.1.51</t>
  </si>
  <si>
    <t xml:space="preserve">              CIRCUITE SECUNDARE SERVICII INTERNE CURENT CONTINUU</t>
  </si>
  <si>
    <t>4.1.1.52</t>
  </si>
  <si>
    <t>4.1.1.53</t>
  </si>
  <si>
    <t>4.1.1.54</t>
  </si>
  <si>
    <t xml:space="preserve">              COMPLETARI LA INSTALATII ELECTRICE INTERIOARE</t>
  </si>
  <si>
    <t>4.1.1.55</t>
  </si>
  <si>
    <t xml:space="preserve">              INSTALATIE DE ILUMINAT EXTERIOR</t>
  </si>
  <si>
    <t>4.1.1.56</t>
  </si>
  <si>
    <t xml:space="preserve">              Montare panouri fotovoltaice</t>
  </si>
  <si>
    <t>4.1.1.57</t>
  </si>
  <si>
    <t xml:space="preserve">              PROVIZORATE CIRCUITE PRIMARE</t>
  </si>
  <si>
    <t>4.1.1.58</t>
  </si>
  <si>
    <t xml:space="preserve">              PROVIZORATE CIRCUITE SECUNDARE</t>
  </si>
  <si>
    <t>Montaj utilaje, echipamente tehnologice si functionale</t>
  </si>
  <si>
    <t>4.2.1.62</t>
  </si>
  <si>
    <t>4.2.1.63</t>
  </si>
  <si>
    <t>4.2.1.64</t>
  </si>
  <si>
    <t>4.2.1.65</t>
  </si>
  <si>
    <t>4.2.1.66</t>
  </si>
  <si>
    <t>4.2.1.67</t>
  </si>
  <si>
    <t>4.2.1.68</t>
  </si>
  <si>
    <t>4.2.1.69</t>
  </si>
  <si>
    <t>Utilaje, echipamente tehnologice si functionale care necesita montaj</t>
  </si>
  <si>
    <t>4.3.1.1</t>
  </si>
  <si>
    <t xml:space="preserve">              1-Lista echipamente circ primare 110 kV</t>
  </si>
  <si>
    <t>4.3.1.2</t>
  </si>
  <si>
    <t>4.3.1.3</t>
  </si>
  <si>
    <t>4.3.1.4</t>
  </si>
  <si>
    <t>4.3.1.5</t>
  </si>
  <si>
    <t>4.3.1.6</t>
  </si>
  <si>
    <t>4.3.1.7</t>
  </si>
  <si>
    <t>4.3.1.8</t>
  </si>
  <si>
    <t>4.3.1.9</t>
  </si>
  <si>
    <t>4.3.1.10</t>
  </si>
  <si>
    <t>Utilaje, echipamente tehnologice si functionale care nu necesita montaj si echipamente de transport</t>
  </si>
  <si>
    <t>Dotari</t>
  </si>
  <si>
    <t>Active necorporale</t>
  </si>
  <si>
    <t>Organizare de santier</t>
  </si>
  <si>
    <t>5.1.1</t>
  </si>
  <si>
    <t>Lucrari de constructii si instalatii aferente organizarii de santier</t>
  </si>
  <si>
    <t>5.1.2</t>
  </si>
  <si>
    <t>Cheltuieli conexe organizarii santierului</t>
  </si>
  <si>
    <t>Probe tehnologice si teste</t>
  </si>
  <si>
    <t>TOTAL VALOARE (exclusiv TVA)</t>
  </si>
  <si>
    <t>TVA     19 %</t>
  </si>
  <si>
    <t>TOTAL VALOARE (inclusiv TVA)</t>
  </si>
  <si>
    <t>1.2.2.1</t>
  </si>
  <si>
    <t>1.2.2.2</t>
  </si>
  <si>
    <t>4.1.2.14</t>
  </si>
  <si>
    <t>4.1.2.15</t>
  </si>
  <si>
    <t>4.1.2.16</t>
  </si>
  <si>
    <t>4.1.2.17</t>
  </si>
  <si>
    <t>4.1.2.18</t>
  </si>
  <si>
    <t>4.1.2.19</t>
  </si>
  <si>
    <t>4.1.2.20</t>
  </si>
  <si>
    <t>4.1.2.21</t>
  </si>
  <si>
    <t>4.1.2.22</t>
  </si>
  <si>
    <t>4.1.2.23</t>
  </si>
  <si>
    <t>4.1.2.24</t>
  </si>
  <si>
    <t>4.1.2.25</t>
  </si>
  <si>
    <t>4.1.2.26</t>
  </si>
  <si>
    <t>4.1.2.27</t>
  </si>
  <si>
    <t>4.1.2.28</t>
  </si>
  <si>
    <t>4.1.2.29</t>
  </si>
  <si>
    <t>4.1.2.30</t>
  </si>
  <si>
    <t>4.1.2.31</t>
  </si>
  <si>
    <t xml:space="preserve">              Fundatii TT 110 kV</t>
  </si>
  <si>
    <t>4.1.2.32</t>
  </si>
  <si>
    <t xml:space="preserve">              Fundatii TC 110 kV</t>
  </si>
  <si>
    <t xml:space="preserve">              Fundatii stalpi cadru 110 kV</t>
  </si>
  <si>
    <t xml:space="preserve">              Circ secundare BK</t>
  </si>
  <si>
    <t xml:space="preserve">              Fundatie BK</t>
  </si>
  <si>
    <t xml:space="preserve">              Constructii si instalatii PSC</t>
  </si>
  <si>
    <t xml:space="preserve">              Instalatie iluminat exterior</t>
  </si>
  <si>
    <t xml:space="preserve">              Canal cabluri</t>
  </si>
  <si>
    <t xml:space="preserve">              Drumuri interioare</t>
  </si>
  <si>
    <t>4.3.2.1</t>
  </si>
  <si>
    <t>4.3.2.2</t>
  </si>
  <si>
    <t>4.3.2.3</t>
  </si>
  <si>
    <t>4.3.2.4</t>
  </si>
  <si>
    <t>4.3.2.5</t>
  </si>
  <si>
    <t>4.3.2.6</t>
  </si>
  <si>
    <t xml:space="preserve">              6-Lista echipamente PSC</t>
  </si>
  <si>
    <t>4.3.2.7</t>
  </si>
  <si>
    <t>4.3.2.8</t>
  </si>
  <si>
    <t>1.2.3.1</t>
  </si>
  <si>
    <t xml:space="preserve">              Demolare fundatii I 110 kV</t>
  </si>
  <si>
    <t>1.2.3.2</t>
  </si>
  <si>
    <t xml:space="preserve">              Demolare fundatii MOP</t>
  </si>
  <si>
    <t>1.2.3.3</t>
  </si>
  <si>
    <t xml:space="preserve">              Demolare fundatii SL+SB 110 kV</t>
  </si>
  <si>
    <t>1.2.3.4</t>
  </si>
  <si>
    <t xml:space="preserve">              Demolare fundatii TT 110 kV</t>
  </si>
  <si>
    <t>1.2.3.5</t>
  </si>
  <si>
    <t xml:space="preserve">              Demolare fundatii TC 110 kV</t>
  </si>
  <si>
    <t>1.2.3.6</t>
  </si>
  <si>
    <t xml:space="preserve">              Demolare fundatii D 110 kV</t>
  </si>
  <si>
    <t xml:space="preserve">              Demolare fundatii IS 110 kV</t>
  </si>
  <si>
    <t xml:space="preserve">              Demolare fundatii cutie cleme</t>
  </si>
  <si>
    <t xml:space="preserve">              Demolare fundatie pod bare</t>
  </si>
  <si>
    <t xml:space="preserve">              Demolare cuva trafo putere</t>
  </si>
  <si>
    <t xml:space="preserve">              Demolare rigle+stalpi</t>
  </si>
  <si>
    <t xml:space="preserve">              Demolare fundatii stalpi cadre</t>
  </si>
  <si>
    <t xml:space="preserve">              Demolare imprejmuire</t>
  </si>
  <si>
    <t xml:space="preserve">              Lucrari protectia mediului</t>
  </si>
  <si>
    <t>4.1.3.21</t>
  </si>
  <si>
    <t>4.1.3.22</t>
  </si>
  <si>
    <t xml:space="preserve">              Demontare bare colectoare 110 kV</t>
  </si>
  <si>
    <t>4.1.3.23</t>
  </si>
  <si>
    <t xml:space="preserve">              Demontare Trafo 110 / 20 kV</t>
  </si>
  <si>
    <t>4.1.3.24</t>
  </si>
  <si>
    <t xml:space="preserve">              Demontare pod de bare trafo 110/20 kV</t>
  </si>
  <si>
    <t>4.1.3.25</t>
  </si>
  <si>
    <t xml:space="preserve">              Demontare Grup Tratare Neutru + TSI</t>
  </si>
  <si>
    <t>4.1.3.26</t>
  </si>
  <si>
    <t xml:space="preserve">              Demontare paratrasnete</t>
  </si>
  <si>
    <t>4.1.3.27</t>
  </si>
  <si>
    <t xml:space="preserve">              Demontare  prize de pamant</t>
  </si>
  <si>
    <t>4.1.3.28</t>
  </si>
  <si>
    <t xml:space="preserve">              Demontare instal de ilum ext</t>
  </si>
  <si>
    <t>4.1.3.29</t>
  </si>
  <si>
    <t xml:space="preserve">              Demontare celule MT circ primare</t>
  </si>
  <si>
    <t>4.1.3.30</t>
  </si>
  <si>
    <t xml:space="preserve">              Demontare celule MT circ sec</t>
  </si>
  <si>
    <t>4.1.3.31</t>
  </si>
  <si>
    <t xml:space="preserve">              Demontare SCADA</t>
  </si>
  <si>
    <t>4.1.3.32</t>
  </si>
  <si>
    <t xml:space="preserve">              Demontare PSC</t>
  </si>
  <si>
    <t>4.1.3.33</t>
  </si>
  <si>
    <t xml:space="preserve">              Demontare DAS+AAR</t>
  </si>
  <si>
    <t>4.1.3.34</t>
  </si>
  <si>
    <t xml:space="preserve">              Demontare SI 230 V c.a.</t>
  </si>
  <si>
    <t>4.1.3.35</t>
  </si>
  <si>
    <t xml:space="preserve">              Demontare SI 230 V c.c.</t>
  </si>
  <si>
    <t>4.1.3.36</t>
  </si>
  <si>
    <t>4.1.3.37</t>
  </si>
  <si>
    <t xml:space="preserve">              Fundatii intrerupatoare 110 kV</t>
  </si>
  <si>
    <t>4.1.3.38</t>
  </si>
  <si>
    <t xml:space="preserve">              Fundatii SL_SB 2P 110 kV</t>
  </si>
  <si>
    <t>4.1.3.39</t>
  </si>
  <si>
    <t>4.1.3.40</t>
  </si>
  <si>
    <t>4.1.3.41</t>
  </si>
  <si>
    <t xml:space="preserve">              Fundatii D 110 kV</t>
  </si>
  <si>
    <t>4.1.3.42</t>
  </si>
  <si>
    <t xml:space="preserve">              Fundatii IS 110 kV</t>
  </si>
  <si>
    <t>4.1.3.43</t>
  </si>
  <si>
    <t xml:space="preserve">              Fundatii cutie cleme</t>
  </si>
  <si>
    <t>4.1.3.44</t>
  </si>
  <si>
    <t xml:space="preserve">              Reabilitare cuve si fundatii trafo de putere</t>
  </si>
  <si>
    <t>4.1.3.45</t>
  </si>
  <si>
    <t xml:space="preserve">              Fundatie + suport pod bare Trafo putere</t>
  </si>
  <si>
    <t>4.1.3.46</t>
  </si>
  <si>
    <t>4.1.3.47</t>
  </si>
  <si>
    <t>4.1.3.48</t>
  </si>
  <si>
    <t>4.1.3.49</t>
  </si>
  <si>
    <t>4.1.3.50</t>
  </si>
  <si>
    <t>4.1.3.51</t>
  </si>
  <si>
    <t>4.1.3.52</t>
  </si>
  <si>
    <t>4.1.3.53</t>
  </si>
  <si>
    <t xml:space="preserve">              Stalp cadru 8m</t>
  </si>
  <si>
    <t>4.1.3.54</t>
  </si>
  <si>
    <t xml:space="preserve">              Stalp cadru 11,6m</t>
  </si>
  <si>
    <t>4.1.3.55</t>
  </si>
  <si>
    <t xml:space="preserve">              Rigla</t>
  </si>
  <si>
    <t>4.1.3.56</t>
  </si>
  <si>
    <t xml:space="preserve">              LES 20  kV racordare Trafo putere</t>
  </si>
  <si>
    <t>4.1.3.57</t>
  </si>
  <si>
    <t xml:space="preserve">              LES 20 kV racordare celule</t>
  </si>
  <si>
    <t>4.1.3.58</t>
  </si>
  <si>
    <t>4.1.3.59</t>
  </si>
  <si>
    <t xml:space="preserve">              Construire fundatii si suporti GTN</t>
  </si>
  <si>
    <t>4.1.3.60</t>
  </si>
  <si>
    <t xml:space="preserve">              LES 20 kV - Racord TSI+BS</t>
  </si>
  <si>
    <t>4.1.3.61</t>
  </si>
  <si>
    <t xml:space="preserve">              LES 0,4 kV - Racord TSI+BS</t>
  </si>
  <si>
    <t xml:space="preserve">              Constructii+ Instalatii -BK</t>
  </si>
  <si>
    <t xml:space="preserve">              Cabluri SI c.a.</t>
  </si>
  <si>
    <t xml:space="preserve">              Cabluri SI c.c.</t>
  </si>
  <si>
    <t xml:space="preserve">              Instalatie de paratrasnete</t>
  </si>
  <si>
    <t xml:space="preserve">              Instalatie de legare la pamant</t>
  </si>
  <si>
    <t xml:space="preserve">              Fundatii stalpi iluminat</t>
  </si>
  <si>
    <t xml:space="preserve">              Dale canal cabluri</t>
  </si>
  <si>
    <t xml:space="preserve">              Imprejmuire</t>
  </si>
  <si>
    <t xml:space="preserve">              Sistem de securitate perimetrala</t>
  </si>
  <si>
    <t xml:space="preserve">              Instal ilum de sig</t>
  </si>
  <si>
    <t xml:space="preserve">              Tamplarie (usi,ferestre)</t>
  </si>
  <si>
    <t xml:space="preserve">              Instalatii electrice si prize</t>
  </si>
  <si>
    <t xml:space="preserve">              Instalatii incalzire si climatizare</t>
  </si>
  <si>
    <t xml:space="preserve">              Instalatii sanitare</t>
  </si>
  <si>
    <t xml:space="preserve">              Constructii si instalatii DASUf</t>
  </si>
  <si>
    <t xml:space="preserve">              Constructii si instalatii telecom</t>
  </si>
  <si>
    <t xml:space="preserve">              Constructii si instalatii SCADA</t>
  </si>
  <si>
    <t>4.3.3.1</t>
  </si>
  <si>
    <t xml:space="preserve">              1 Lista echipamente circuite primare 110 kV</t>
  </si>
  <si>
    <t>4.3.3.2</t>
  </si>
  <si>
    <t xml:space="preserve">              2 Lista echipamente circuite secundare 110 kV</t>
  </si>
  <si>
    <t>4.3.3.3</t>
  </si>
  <si>
    <t xml:space="preserve">              3 Lista echipamente celule 20 kV</t>
  </si>
  <si>
    <t>4.3.3.4</t>
  </si>
  <si>
    <t>4.3.3.5</t>
  </si>
  <si>
    <t>4.3.3.6</t>
  </si>
  <si>
    <t>4.3.3.7</t>
  </si>
  <si>
    <t>4.3.3.8</t>
  </si>
  <si>
    <t xml:space="preserve">              8 Lista echipamente PSC</t>
  </si>
  <si>
    <t>4.3.3.9</t>
  </si>
  <si>
    <t>4.3.3.10</t>
  </si>
  <si>
    <t>4.3.3.11</t>
  </si>
  <si>
    <t>1.2.4.1</t>
  </si>
  <si>
    <t>1.2.4.2</t>
  </si>
  <si>
    <t>1.2.4.3</t>
  </si>
  <si>
    <t>1.2.4.4</t>
  </si>
  <si>
    <t>1.2.4.5</t>
  </si>
  <si>
    <t>1.2.4.6</t>
  </si>
  <si>
    <t>1.2.4.7</t>
  </si>
  <si>
    <t>1.2.4.8</t>
  </si>
  <si>
    <t>1.2.4.9</t>
  </si>
  <si>
    <t>1.2.4.10</t>
  </si>
  <si>
    <t>1.2.4.11</t>
  </si>
  <si>
    <t xml:space="preserve">              DEMOLARE TSI + BS</t>
  </si>
  <si>
    <t>4.1.4.25</t>
  </si>
  <si>
    <t>4.1.4.26</t>
  </si>
  <si>
    <t>4.1.4.27</t>
  </si>
  <si>
    <t>4.1.4.28</t>
  </si>
  <si>
    <t>4.1.4.29</t>
  </si>
  <si>
    <t>4.1.4.30</t>
  </si>
  <si>
    <t>4.1.4.31</t>
  </si>
  <si>
    <t>4.1.4.32</t>
  </si>
  <si>
    <t>4.1.4.33</t>
  </si>
  <si>
    <t>4.1.4.34</t>
  </si>
  <si>
    <t>4.1.4.35</t>
  </si>
  <si>
    <t>4.1.4.36</t>
  </si>
  <si>
    <t>4.1.4.37</t>
  </si>
  <si>
    <t>4.1.4.38</t>
  </si>
  <si>
    <t>4.1.4.39</t>
  </si>
  <si>
    <t>4.1.4.40</t>
  </si>
  <si>
    <t>4.1.4.41</t>
  </si>
  <si>
    <t>4.1.4.42</t>
  </si>
  <si>
    <t>4.1.4.43</t>
  </si>
  <si>
    <t>4.1.4.44</t>
  </si>
  <si>
    <t>4.1.4.45</t>
  </si>
  <si>
    <t>4.1.4.46</t>
  </si>
  <si>
    <t>4.1.4.47</t>
  </si>
  <si>
    <t>4.1.4.48</t>
  </si>
  <si>
    <t>4.1.4.49</t>
  </si>
  <si>
    <t>4.1.4.50</t>
  </si>
  <si>
    <t>4.1.4.51</t>
  </si>
  <si>
    <t>4.1.4.52</t>
  </si>
  <si>
    <t>4.1.4.53</t>
  </si>
  <si>
    <t>4.1.4.54</t>
  </si>
  <si>
    <t>4.1.4.55</t>
  </si>
  <si>
    <t>4.1.4.56</t>
  </si>
  <si>
    <t>4.1.4.57</t>
  </si>
  <si>
    <t>4.1.4.58</t>
  </si>
  <si>
    <t>4.1.4.59</t>
  </si>
  <si>
    <t>4.1.4.60</t>
  </si>
  <si>
    <t>4.1.4.61</t>
  </si>
  <si>
    <t>4.1.4.62</t>
  </si>
  <si>
    <t>4.1.4.63</t>
  </si>
  <si>
    <t>4.1.4.64</t>
  </si>
  <si>
    <t>4.1.4.65</t>
  </si>
  <si>
    <t>4.1.4.66</t>
  </si>
  <si>
    <t>4.1.4.67</t>
  </si>
  <si>
    <t xml:space="preserve">              Constructii si instalatii DAUT</t>
  </si>
  <si>
    <t xml:space="preserve">              Integrare in SCADA_Configurari</t>
  </si>
  <si>
    <t>4.3.4.1</t>
  </si>
  <si>
    <t>4.3.4.2</t>
  </si>
  <si>
    <t>4.3.4.3</t>
  </si>
  <si>
    <t>4.3.4.4</t>
  </si>
  <si>
    <t>4.3.4.5</t>
  </si>
  <si>
    <t>4.3.4.6</t>
  </si>
  <si>
    <t>4.3.4.7</t>
  </si>
  <si>
    <t>4.3.4.8</t>
  </si>
  <si>
    <t>4.3.4.9</t>
  </si>
  <si>
    <t xml:space="preserve">              DEMOLARE TT 110 kV</t>
  </si>
  <si>
    <t xml:space="preserve">              DEMOLARE TC 110 kV</t>
  </si>
  <si>
    <t xml:space="preserve">              DEMOLARE INTRERUPATOARE 110 kV</t>
  </si>
  <si>
    <t xml:space="preserve">              DEMOLARE SEPARATOARE 110 kV</t>
  </si>
  <si>
    <t xml:space="preserve">              DEMOLARE IZOLATORI SUPORT 110 kV</t>
  </si>
  <si>
    <t xml:space="preserve">              DEMOLARE CUTIE CLEME</t>
  </si>
  <si>
    <t xml:space="preserve">              DEMOLARE BK</t>
  </si>
  <si>
    <t xml:space="preserve">              DEMONTARE BATERIE DE CONDENSATOARE</t>
  </si>
  <si>
    <t xml:space="preserve">              FUNDATII IZOLATOARE 110 kV</t>
  </si>
  <si>
    <t xml:space="preserve">              FUNDATII INTRERUPATOARE 110 kV</t>
  </si>
  <si>
    <t xml:space="preserve">              FUNDATIE ANSAMBLU TSI + BS</t>
  </si>
  <si>
    <t xml:space="preserve">              INSTALATIE DE LEGARE LA PAMINT SI PARATRASNETE</t>
  </si>
  <si>
    <t>1.2.6.1</t>
  </si>
  <si>
    <t>1.2.6.2</t>
  </si>
  <si>
    <t>1.2.6.3</t>
  </si>
  <si>
    <t>1.2.6.4</t>
  </si>
  <si>
    <t>1.2.6.5</t>
  </si>
  <si>
    <t>1.2.6.6</t>
  </si>
  <si>
    <t>1.2.6.7</t>
  </si>
  <si>
    <t>1.2.6.8</t>
  </si>
  <si>
    <t>1.2.6.9</t>
  </si>
  <si>
    <t>1.2.6.10</t>
  </si>
  <si>
    <t>4.1.6.24</t>
  </si>
  <si>
    <t>4.1.6.25</t>
  </si>
  <si>
    <t>4.1.6.26</t>
  </si>
  <si>
    <t>4.1.6.27</t>
  </si>
  <si>
    <t>4.1.6.28</t>
  </si>
  <si>
    <t>4.1.6.29</t>
  </si>
  <si>
    <t>4.1.6.30</t>
  </si>
  <si>
    <t>4.1.6.31</t>
  </si>
  <si>
    <t>4.1.6.32</t>
  </si>
  <si>
    <t>4.1.6.33</t>
  </si>
  <si>
    <t>4.1.6.34</t>
  </si>
  <si>
    <t>4.1.6.35</t>
  </si>
  <si>
    <t>4.1.6.36</t>
  </si>
  <si>
    <t>4.1.6.37</t>
  </si>
  <si>
    <t>4.1.6.38</t>
  </si>
  <si>
    <t>4.1.6.39</t>
  </si>
  <si>
    <t>4.1.6.40</t>
  </si>
  <si>
    <t>4.1.6.41</t>
  </si>
  <si>
    <t>4.1.6.42</t>
  </si>
  <si>
    <t>4.1.6.43</t>
  </si>
  <si>
    <t>4.1.6.44</t>
  </si>
  <si>
    <t>4.1.6.45</t>
  </si>
  <si>
    <t>4.1.6.46</t>
  </si>
  <si>
    <t>4.1.6.47</t>
  </si>
  <si>
    <t>4.1.6.48</t>
  </si>
  <si>
    <t>4.1.6.49</t>
  </si>
  <si>
    <t>4.1.6.50</t>
  </si>
  <si>
    <t>4.1.6.51</t>
  </si>
  <si>
    <t>4.1.6.52</t>
  </si>
  <si>
    <t>4.1.6.53</t>
  </si>
  <si>
    <t>4.1.6.54</t>
  </si>
  <si>
    <t>4.1.6.55</t>
  </si>
  <si>
    <t>4.1.6.56</t>
  </si>
  <si>
    <t>4.1.6.57</t>
  </si>
  <si>
    <t>4.1.6.58</t>
  </si>
  <si>
    <t>4.1.6.59</t>
  </si>
  <si>
    <t>4.1.6.60</t>
  </si>
  <si>
    <t>4.1.6.61</t>
  </si>
  <si>
    <t>4.1.6.62</t>
  </si>
  <si>
    <t>4.1.6.63</t>
  </si>
  <si>
    <t>4.1.6.64</t>
  </si>
  <si>
    <t>4.1.6.65</t>
  </si>
  <si>
    <t>4.1.6.66</t>
  </si>
  <si>
    <t>4.1.6.67</t>
  </si>
  <si>
    <t>4.1.6.68</t>
  </si>
  <si>
    <t>4.1.6.69</t>
  </si>
  <si>
    <t>4.1.6.70</t>
  </si>
  <si>
    <t>4.2.6.72</t>
  </si>
  <si>
    <t>4.2.6.73</t>
  </si>
  <si>
    <t>4.2.6.74</t>
  </si>
  <si>
    <t>4.2.6.75</t>
  </si>
  <si>
    <t>4.2.6.76</t>
  </si>
  <si>
    <t>4.2.6.77</t>
  </si>
  <si>
    <t>4.2.6.78</t>
  </si>
  <si>
    <t>4.2.6.79</t>
  </si>
  <si>
    <t>4.2.6.80</t>
  </si>
  <si>
    <t>4.3.6.1</t>
  </si>
  <si>
    <t>4.3.6.2</t>
  </si>
  <si>
    <t>4.3.6.3</t>
  </si>
  <si>
    <t>4.3.6.4</t>
  </si>
  <si>
    <t>4.3.6.5</t>
  </si>
  <si>
    <t xml:space="preserve">              5 Lista echipamente servicii interne ca si cc</t>
  </si>
  <si>
    <t>4.3.6.6</t>
  </si>
  <si>
    <t xml:space="preserve">              6 Lista echipamente Instalatii</t>
  </si>
  <si>
    <t>4.3.6.7</t>
  </si>
  <si>
    <t>4.3.6.8</t>
  </si>
  <si>
    <t>4.3.6.9</t>
  </si>
  <si>
    <t xml:space="preserve">              9 Lista echipamente telecomunicatii</t>
  </si>
  <si>
    <t>4.3.6.10</t>
  </si>
  <si>
    <t>1.2.7.1</t>
  </si>
  <si>
    <t>1.2.7.2</t>
  </si>
  <si>
    <t>1.2.7.3</t>
  </si>
  <si>
    <t>1.2.7.4</t>
  </si>
  <si>
    <t>1.2.7.5</t>
  </si>
  <si>
    <t>1.2.7.6</t>
  </si>
  <si>
    <t>1.2.7.7</t>
  </si>
  <si>
    <t>1.2.7.8</t>
  </si>
  <si>
    <t>1.2.7.9</t>
  </si>
  <si>
    <t>1.2.7.10</t>
  </si>
  <si>
    <t>1.3.7.11</t>
  </si>
  <si>
    <t>4.1.7.21</t>
  </si>
  <si>
    <t>4.1.7.22</t>
  </si>
  <si>
    <t>4.1.7.23</t>
  </si>
  <si>
    <t xml:space="preserve">              FUNDATII INTRERUPTOARE 110 KV</t>
  </si>
  <si>
    <t>4.1.7.24</t>
  </si>
  <si>
    <t xml:space="preserve">              FUNDATII SEPARATOARE 110 KV</t>
  </si>
  <si>
    <t>4.1.7.25</t>
  </si>
  <si>
    <t>4.1.7.26</t>
  </si>
  <si>
    <t>4.1.7.27</t>
  </si>
  <si>
    <t xml:space="preserve">              FUNDATII TC 110 kV</t>
  </si>
  <si>
    <t>4.1.7.28</t>
  </si>
  <si>
    <t>4.1.7.29</t>
  </si>
  <si>
    <t xml:space="preserve">              FUNDATII CUTII DE CLEME</t>
  </si>
  <si>
    <t>4.1.7.30</t>
  </si>
  <si>
    <t>4.1.7.31</t>
  </si>
  <si>
    <t>4.1.7.32</t>
  </si>
  <si>
    <t>4.1.7.33</t>
  </si>
  <si>
    <t>4.1.7.34</t>
  </si>
  <si>
    <t>4.1.7.35</t>
  </si>
  <si>
    <t>4.1.7.36</t>
  </si>
  <si>
    <t>4.1.7.37</t>
  </si>
  <si>
    <t>4.1.7.38</t>
  </si>
  <si>
    <t>4.1.7.39</t>
  </si>
  <si>
    <t>4.1.7.40</t>
  </si>
  <si>
    <t>4.1.7.41</t>
  </si>
  <si>
    <t>4.1.7.42</t>
  </si>
  <si>
    <t>4.1.7.43</t>
  </si>
  <si>
    <t>4.1.7.44</t>
  </si>
  <si>
    <t>4.1.7.45</t>
  </si>
  <si>
    <t>4.1.7.46</t>
  </si>
  <si>
    <t>4.1.7.47</t>
  </si>
  <si>
    <t>4.1.7.48</t>
  </si>
  <si>
    <t>4.1.7.49</t>
  </si>
  <si>
    <t>4.1.7.50</t>
  </si>
  <si>
    <t>4.1.7.51</t>
  </si>
  <si>
    <t>4.1.7.52</t>
  </si>
  <si>
    <t>4.1.7.53</t>
  </si>
  <si>
    <t>4.1.7.54</t>
  </si>
  <si>
    <t>4.1.7.55</t>
  </si>
  <si>
    <t>4.1.7.56</t>
  </si>
  <si>
    <t>4.1.7.57</t>
  </si>
  <si>
    <t>4.1.7.58</t>
  </si>
  <si>
    <t>4.1.7.59</t>
  </si>
  <si>
    <t>4.1.7.60</t>
  </si>
  <si>
    <t>4.1.7.61</t>
  </si>
  <si>
    <t>4.1.7.62</t>
  </si>
  <si>
    <t>4.1.7.63</t>
  </si>
  <si>
    <t>4.1.7.64</t>
  </si>
  <si>
    <t>4.1.7.65</t>
  </si>
  <si>
    <t>4.1.7.66</t>
  </si>
  <si>
    <t>4.1.7.67</t>
  </si>
  <si>
    <t xml:space="preserve">              INSTALATII SANITARE</t>
  </si>
  <si>
    <t xml:space="preserve">              IMPREJMUIRE</t>
  </si>
  <si>
    <t xml:space="preserve">              DRUMURI INTERIOARE</t>
  </si>
  <si>
    <t>primare 110 kV</t>
  </si>
  <si>
    <t>secundare</t>
  </si>
  <si>
    <t>mt</t>
  </si>
  <si>
    <t>serv proprii</t>
  </si>
  <si>
    <t>provizorate</t>
  </si>
  <si>
    <t>Circuite primare 110 kV</t>
  </si>
  <si>
    <t>Circuite Secundare</t>
  </si>
  <si>
    <t>Celule MT</t>
  </si>
  <si>
    <t>Servicii proprii</t>
  </si>
  <si>
    <t xml:space="preserve">            din care C+I</t>
  </si>
  <si>
    <t>Mijloace fixe noi (achizitionate in proiect)</t>
  </si>
  <si>
    <t>Valoare (cf Deviz)</t>
  </si>
  <si>
    <t>Tip Mijloc fix / Obiect (cf devize pe obiect) - De ex. LES 20kV</t>
  </si>
  <si>
    <t>specifice</t>
  </si>
  <si>
    <t>generale</t>
  </si>
  <si>
    <t>Categorie amortizare (cf ANRE)</t>
  </si>
  <si>
    <t xml:space="preserve"> CIRCUITE PRIMARE 110KV</t>
  </si>
  <si>
    <t>CIRCUITE SECUNDARE 110KV</t>
  </si>
  <si>
    <t xml:space="preserve">CIRCUITE MT </t>
  </si>
  <si>
    <t>SERVICII PROPRII</t>
  </si>
  <si>
    <t>22/2023</t>
  </si>
  <si>
    <t>Modernizare si integrare in SCADA statii de transformare  din gestiunea Delgaz Grid – Etapa 4</t>
  </si>
  <si>
    <t>Statia 110/20 kV Belcesti, jud. IS</t>
  </si>
  <si>
    <t>Statia 20 kV Tabara, jud. IS</t>
  </si>
  <si>
    <t>Statia 110/20 kV Trifesti, jud. IS</t>
  </si>
  <si>
    <t>Statia 110/6 kV Roman IMR, jud. NT</t>
  </si>
  <si>
    <t>4.1.8</t>
  </si>
  <si>
    <t>4.1.9</t>
  </si>
  <si>
    <t>4.1.10</t>
  </si>
  <si>
    <t>4.1.11</t>
  </si>
  <si>
    <t>4.1.12</t>
  </si>
  <si>
    <t>- obiectul nr.8</t>
  </si>
  <si>
    <t>- obiectul nr.9</t>
  </si>
  <si>
    <t>- obiectul nr.10</t>
  </si>
  <si>
    <t>- obiectul nr.11</t>
  </si>
  <si>
    <t>- obiectul nr.12</t>
  </si>
  <si>
    <t>Statia 110/20 kV PAL Neamt, jud. NT</t>
  </si>
  <si>
    <t>Statia 110/20 kV P.N. Gara, jud. NT</t>
  </si>
  <si>
    <t>Statia 110/20 kV Roman Vest, jud. NT</t>
  </si>
  <si>
    <t>Statia 110/20 kV Delnita, jud. SV</t>
  </si>
  <si>
    <t>Statia 110/20 kV Iacobeni, jud. SV</t>
  </si>
  <si>
    <t>Statia 110/6 kV Radiatoare, jud. SV</t>
  </si>
  <si>
    <t>Statia 110/20/6 kV Tarnita, jud. SV</t>
  </si>
  <si>
    <t>Statia 110/20 kV Mirauti, jud. SV</t>
  </si>
  <si>
    <t>4.2.8</t>
  </si>
  <si>
    <t>4.2.9</t>
  </si>
  <si>
    <t>4.2.10</t>
  </si>
  <si>
    <t>4.2.11</t>
  </si>
  <si>
    <t>4.2.12</t>
  </si>
  <si>
    <t>4.3.8</t>
  </si>
  <si>
    <t>4.3.9</t>
  </si>
  <si>
    <t>4.3.10</t>
  </si>
  <si>
    <t>4.3.11</t>
  </si>
  <si>
    <t>4.3.12</t>
  </si>
  <si>
    <t>1.2.8</t>
  </si>
  <si>
    <t>1.2.9</t>
  </si>
  <si>
    <t>1.2.10</t>
  </si>
  <si>
    <t>1.2.11</t>
  </si>
  <si>
    <t>1.2.12</t>
  </si>
  <si>
    <t>1.3.8</t>
  </si>
  <si>
    <t>1.3.9</t>
  </si>
  <si>
    <t>1.3.10</t>
  </si>
  <si>
    <t>1.3.11</t>
  </si>
  <si>
    <t>1.3.12</t>
  </si>
  <si>
    <t xml:space="preserve">              #(1)-M.U. CIRC.PRIMARE 110 kV</t>
  </si>
  <si>
    <t>4.2.1.70</t>
  </si>
  <si>
    <t>4.2.1.71</t>
  </si>
  <si>
    <t>4.2.1.72</t>
  </si>
  <si>
    <t>4.2.1.73</t>
  </si>
  <si>
    <t>4.2.1.74</t>
  </si>
  <si>
    <t>4.2.1.75</t>
  </si>
  <si>
    <t xml:space="preserve">              #(2)-M.U. TRAFO PUTERE</t>
  </si>
  <si>
    <t xml:space="preserve">              #(3)-M.U. CIRC.SECUNDARE 110 kV</t>
  </si>
  <si>
    <t xml:space="preserve">              #(4)-M.U. Celule 20 kV</t>
  </si>
  <si>
    <t xml:space="preserve">              #(5)-M.U. SCADA nou</t>
  </si>
  <si>
    <t xml:space="preserve">              #(6)-M.U. PSC</t>
  </si>
  <si>
    <t xml:space="preserve">              #(7)-M.U. DAUT</t>
  </si>
  <si>
    <t xml:space="preserve">              #(8)-M.U. circ primare GTN</t>
  </si>
  <si>
    <t xml:space="preserve">              #(9)-M.U. circ sec GTN</t>
  </si>
  <si>
    <t xml:space="preserve">              #(10)-M.U. CIRC PRIMARE BATERIE DE CONDENSATOARE</t>
  </si>
  <si>
    <t xml:space="preserve">              #(11)-M.U. CIRC. SEC. SERVICII INTERNE C.A.</t>
  </si>
  <si>
    <t xml:space="preserve">              #(12)-M.U. CIRC SEC SERVICII INTERNE C.C.</t>
  </si>
  <si>
    <t xml:space="preserve">              #(13)-M.U. Sistem de securitate perimetrala</t>
  </si>
  <si>
    <t xml:space="preserve">              #(14)-M.U. INST. EL. INTERIOARE. IN CLADIRE CORP COMANDA</t>
  </si>
  <si>
    <t xml:space="preserve">              2-Lista echipamente trafo putere</t>
  </si>
  <si>
    <t>4.3.1.11</t>
  </si>
  <si>
    <t>4.3.1.12</t>
  </si>
  <si>
    <t>4.3.1.13</t>
  </si>
  <si>
    <t>4.3.1.14</t>
  </si>
  <si>
    <t xml:space="preserve">              3-Lista echipamente circ sec 110 kV</t>
  </si>
  <si>
    <t xml:space="preserve">              4-Lista echipamente circ primare celule 20 kV</t>
  </si>
  <si>
    <t xml:space="preserve">              5-Lista echipamente SCADA</t>
  </si>
  <si>
    <t xml:space="preserve">              7-Lista echipamente DASUf</t>
  </si>
  <si>
    <t xml:space="preserve">              8-Lista echipamente circ primare GTN</t>
  </si>
  <si>
    <t xml:space="preserve">              9-Lista echipamente circ sec GTN</t>
  </si>
  <si>
    <t xml:space="preserve">              10-Lista echipamente BK</t>
  </si>
  <si>
    <t xml:space="preserve">              11-Lista echipamente SI ca</t>
  </si>
  <si>
    <t xml:space="preserve">              12-Lista echipamente SI cc</t>
  </si>
  <si>
    <t xml:space="preserve">              13-Lista echipamente sistem alarmare efractie</t>
  </si>
  <si>
    <t xml:space="preserve">              14-Lista echipamente instal ilum int</t>
  </si>
  <si>
    <t>4.1.1.59</t>
  </si>
  <si>
    <t>4.1.1.60</t>
  </si>
  <si>
    <t>4.1.1.61</t>
  </si>
  <si>
    <t xml:space="preserve">              Demontare CIRCUITE PRIMARE 110 KV</t>
  </si>
  <si>
    <t xml:space="preserve">              Demontare CIRCUITE SECUNDARE</t>
  </si>
  <si>
    <t xml:space="preserve">              Demontare PRIZE DE PAMANT SI PARATRASNETE</t>
  </si>
  <si>
    <t xml:space="preserve">              Demontare BATERIE DE CONDENSATOARE</t>
  </si>
  <si>
    <t xml:space="preserve">              Demontare GRUPURI TRATARE NEUTRU</t>
  </si>
  <si>
    <t xml:space="preserve">              FUNDATII INTRERUPATOR</t>
  </si>
  <si>
    <t xml:space="preserve">              FUNDATII SB</t>
  </si>
  <si>
    <t xml:space="preserve">              FUNDATII TC</t>
  </si>
  <si>
    <t xml:space="preserve">              Reabilitare cuva si fundatie trafo de putere</t>
  </si>
  <si>
    <t xml:space="preserve">              REPARATII CANAL CABLURI</t>
  </si>
  <si>
    <t xml:space="preserve">              CIRC.PRIMARE 110KV-CIRCUITE ELECTRICE</t>
  </si>
  <si>
    <t xml:space="preserve">              CIRC.SEC.110KV-CABL.C.SEC.CEL.LEA 110KV+BUCLE+SECT</t>
  </si>
  <si>
    <t xml:space="preserve">              Stalpi cadru 11,6m</t>
  </si>
  <si>
    <t xml:space="preserve">              Reparatii stalp D 60 cm; H = 12 m (degradare medie)</t>
  </si>
  <si>
    <t xml:space="preserve">              CIRCUITE SECUNDARE 20KV</t>
  </si>
  <si>
    <t xml:space="preserve">              Instalatii circ primare GTN</t>
  </si>
  <si>
    <t xml:space="preserve">              Cabluri circ sec GTN</t>
  </si>
  <si>
    <t xml:space="preserve">              BATERIE CONDENSATOARE</t>
  </si>
  <si>
    <t xml:space="preserve">              CIRCUITE SECUNDARE SERVICII INTERNE C.A.</t>
  </si>
  <si>
    <t xml:space="preserve">              CIRCUITE SECUNDARE SERVICII INTERNE C.C.</t>
  </si>
  <si>
    <t xml:space="preserve">              INST.AUX.ST.EXTER.-PRIZA DE PAMANT SI PARATRASNETE</t>
  </si>
  <si>
    <t xml:space="preserve">              Consolidare cladire statie - expertiza</t>
  </si>
  <si>
    <t xml:space="preserve">              INSTALATII ELECTRICE INT.IN CLADIRE CORP COMANDA</t>
  </si>
  <si>
    <t xml:space="preserve">              PROVIZORATE CIRCUITE PRIMARE 110KV</t>
  </si>
  <si>
    <t>Belcesti</t>
  </si>
  <si>
    <t>Tabara</t>
  </si>
  <si>
    <t>Trifesti</t>
  </si>
  <si>
    <t xml:space="preserve">              Demolare TSI + BS</t>
  </si>
  <si>
    <t>4.1.2.12</t>
  </si>
  <si>
    <t>4.1.2.13</t>
  </si>
  <si>
    <t xml:space="preserve">              Demontare grupuri servicii interne</t>
  </si>
  <si>
    <t xml:space="preserve">              Reparatii stalp paratrasnet D 100 cm; H = 20 m (degradare medie)</t>
  </si>
  <si>
    <t xml:space="preserve">              Reparatii stalp D 56 cm; H = 8,3 m (degradare medie)</t>
  </si>
  <si>
    <t xml:space="preserve">              FUNDATIE ANSAMBLU TSI</t>
  </si>
  <si>
    <t xml:space="preserve">              Instalatii circ primare SI</t>
  </si>
  <si>
    <t xml:space="preserve">              INST.AUX.SI EXTER.-PRIZA DE PAMANT SI PARATRASNETE</t>
  </si>
  <si>
    <t xml:space="preserve">              INSTALATIE ILUMINAT EXTERIOR</t>
  </si>
  <si>
    <t xml:space="preserve">              INSTALATII ELECTRICE INT.IN CLADIRE</t>
  </si>
  <si>
    <t>4.2.2.33</t>
  </si>
  <si>
    <t xml:space="preserve">              #(1)-M.U. Celule 20 kV</t>
  </si>
  <si>
    <t xml:space="preserve">              #(2)-M.U. SCADA nou</t>
  </si>
  <si>
    <t xml:space="preserve">              #(3)-M.U. PSC</t>
  </si>
  <si>
    <t xml:space="preserve">              #(4)-M.U. DAUT</t>
  </si>
  <si>
    <t xml:space="preserve">              #(5)-M.U. circ primare SI</t>
  </si>
  <si>
    <t xml:space="preserve">              #(6)-M.U. SERVICII INTERNE C.A.</t>
  </si>
  <si>
    <t xml:space="preserve">              #(7)-M.U. SERVICII INTERNE C.C.</t>
  </si>
  <si>
    <t xml:space="preserve">              #(8)-M.U. INSTALATII ELECTRICE INT.IN CLADIRE</t>
  </si>
  <si>
    <t>4.2.2.34</t>
  </si>
  <si>
    <t>4.2.2.35</t>
  </si>
  <si>
    <t>4.2.2.36</t>
  </si>
  <si>
    <t>4.2.2.37</t>
  </si>
  <si>
    <t>4.2.2.38</t>
  </si>
  <si>
    <t>4.2.2.39</t>
  </si>
  <si>
    <t>4.2.2.40</t>
  </si>
  <si>
    <t xml:space="preserve">              1-Lista echipamente circ primare celule 20 kV</t>
  </si>
  <si>
    <t xml:space="preserve">              2-Lista echipamente SCADA</t>
  </si>
  <si>
    <t xml:space="preserve">              3-Lista echipamente PSC</t>
  </si>
  <si>
    <t xml:space="preserve">              4-Lista echipamente DASUf</t>
  </si>
  <si>
    <t xml:space="preserve">              5-Lista echipamente circ primare SI</t>
  </si>
  <si>
    <t xml:space="preserve">              6-Lista echipamente SI ca</t>
  </si>
  <si>
    <t xml:space="preserve">              7-Lista echipamente SI cc</t>
  </si>
  <si>
    <t xml:space="preserve">              8-Lista echipamente instal ilum int</t>
  </si>
  <si>
    <t xml:space="preserve">              Demolari - FUNDATII SI SUPORTI</t>
  </si>
  <si>
    <t xml:space="preserve">              Demolari - FUNDATII INTRERUPATOARE</t>
  </si>
  <si>
    <t xml:space="preserve">              Demolare pod bare</t>
  </si>
  <si>
    <t>4.3.3.12</t>
  </si>
  <si>
    <t>4.3.3.13</t>
  </si>
  <si>
    <t xml:space="preserve">              13-Lista echipamente instal ilum int</t>
  </si>
  <si>
    <t>4.2.3.62</t>
  </si>
  <si>
    <t>4.2.3.63</t>
  </si>
  <si>
    <t>4.2.3.64</t>
  </si>
  <si>
    <t>4.2.3.65</t>
  </si>
  <si>
    <t>4.2.3.66</t>
  </si>
  <si>
    <t>4.2.3.67</t>
  </si>
  <si>
    <t>4.2.3.68</t>
  </si>
  <si>
    <t>4.2.3.69</t>
  </si>
  <si>
    <t>4.2.3.70</t>
  </si>
  <si>
    <t>4.2.3.71</t>
  </si>
  <si>
    <t>4.2.3.72</t>
  </si>
  <si>
    <t>4.2.3.73</t>
  </si>
  <si>
    <t>4.2.3.74</t>
  </si>
  <si>
    <t xml:space="preserve">              #(5)-M.U. SCADA - COMUNICATIE SCADA</t>
  </si>
  <si>
    <t xml:space="preserve">              #(11)-M.U. CIRC SEC SERVICII INTERNE C.A.</t>
  </si>
  <si>
    <t xml:space="preserve">              #(13)-M.U. INSTAL EL. INT. IN CLADIRE CORP COMANDA</t>
  </si>
  <si>
    <t xml:space="preserve">              FUNDATII ST.CADRU MET+CONF.MET</t>
  </si>
  <si>
    <t xml:space="preserve">              FUNDATII IZ.SUPORT BARE+SUPORT</t>
  </si>
  <si>
    <t xml:space="preserve">              FUNDATII DESCARCATOR+SUPORT</t>
  </si>
  <si>
    <t xml:space="preserve">              DRUM</t>
  </si>
  <si>
    <t xml:space="preserve">              Reparatii stalp D 60 cm; H = 12 m (degradare minora)</t>
  </si>
  <si>
    <t xml:space="preserve">              Reparatii rigla D 36 cm, L = 9 mn (degradare minora)</t>
  </si>
  <si>
    <t xml:space="preserve">              LES 20 kV racordare Trafo putere</t>
  </si>
  <si>
    <t>1.3.2.3</t>
  </si>
  <si>
    <t>1.3.3.7</t>
  </si>
  <si>
    <t>Roman IMR</t>
  </si>
  <si>
    <t xml:space="preserve">              Demolare TT 110 kV</t>
  </si>
  <si>
    <t xml:space="preserve">              Demolare TC 110 kV</t>
  </si>
  <si>
    <t xml:space="preserve">              Demolare intrerupatoare 110 kV</t>
  </si>
  <si>
    <t xml:space="preserve">              Demolare separatoare 110 kV</t>
  </si>
  <si>
    <t xml:space="preserve">              Demolare izolatoare suport 110 kV</t>
  </si>
  <si>
    <t xml:space="preserve">              Demolare fundatii RAC</t>
  </si>
  <si>
    <t xml:space="preserve">              Demolare stalpi si fundatii pod de bare 6 kV</t>
  </si>
  <si>
    <t xml:space="preserve">              Demolare cutie cleme</t>
  </si>
  <si>
    <t xml:space="preserve">              Demolare cuva trafo</t>
  </si>
  <si>
    <t xml:space="preserve">              Demolare TSI+BS</t>
  </si>
  <si>
    <t xml:space="preserve">              Demolare BK</t>
  </si>
  <si>
    <t>1.3.4.12</t>
  </si>
  <si>
    <t xml:space="preserve">              Demontare trafo 110/6 kV</t>
  </si>
  <si>
    <t xml:space="preserve">              Demontare echipamente circuite primare 110kV</t>
  </si>
  <si>
    <t xml:space="preserve">              Demontare echipamente circuite secundare 110kV</t>
  </si>
  <si>
    <t xml:space="preserve">              Demontare (C+I) circuite primare 110 kV</t>
  </si>
  <si>
    <t xml:space="preserve">              Demontare celule 6 kV</t>
  </si>
  <si>
    <t xml:space="preserve">              Demontare pod de bare 6 kV</t>
  </si>
  <si>
    <t xml:space="preserve">              Demontare echipamente GTN</t>
  </si>
  <si>
    <t xml:space="preserve">              Demontare echipamente servicii interne c.a. si c.c.</t>
  </si>
  <si>
    <t xml:space="preserve">              Demontare circuite secundare GTN</t>
  </si>
  <si>
    <t xml:space="preserve">              Demontare circuite secundare celule 6kV</t>
  </si>
  <si>
    <t xml:space="preserve">              Demontari circuite secundare servicii interne</t>
  </si>
  <si>
    <t xml:space="preserve">              Demontari secundare+SCADA</t>
  </si>
  <si>
    <t xml:space="preserve">              Reabilitare cuve trafo</t>
  </si>
  <si>
    <t xml:space="preserve">              Fundatii separatoare bara 110 kV</t>
  </si>
  <si>
    <t xml:space="preserve">              Fundatii TC 110kV</t>
  </si>
  <si>
    <t xml:space="preserve">              Fundatii Descarcatoare 110 kV</t>
  </si>
  <si>
    <t xml:space="preserve">              Fundatii ansamblu TSI+BS</t>
  </si>
  <si>
    <t xml:space="preserve">              Fundatie BK 1,2 MVAr</t>
  </si>
  <si>
    <t xml:space="preserve">              Fundatii stalpi paratraznete</t>
  </si>
  <si>
    <t xml:space="preserve">              Consolidare cadre (stalpi+rigla)</t>
  </si>
  <si>
    <t xml:space="preserve">              Hidrofobizare stalpi (stalpi+rigla)</t>
  </si>
  <si>
    <t xml:space="preserve">              Canal cabluri si Dale canal cabluri</t>
  </si>
  <si>
    <t xml:space="preserve">              Drumuri interioare si alei acces</t>
  </si>
  <si>
    <t xml:space="preserve">              Pod cabluri telecomunicatii</t>
  </si>
  <si>
    <t xml:space="preserve">              Reparatii camera comanda/conexiuni</t>
  </si>
  <si>
    <t xml:space="preserve">              Tamplarie (usi, ferestre, gratii)</t>
  </si>
  <si>
    <t xml:space="preserve">              Constructii + instalatii 110 kV</t>
  </si>
  <si>
    <t xml:space="preserve">              C +I secundare 110 kV</t>
  </si>
  <si>
    <t xml:space="preserve">              Constructii+ Instalatii circuite primare 6kV</t>
  </si>
  <si>
    <t xml:space="preserve">              C+I Circuite secundare MT</t>
  </si>
  <si>
    <t xml:space="preserve">              C+I Circuite secundare GTN</t>
  </si>
  <si>
    <t xml:space="preserve">              Circuite secundare -BK 1,2 MVAr</t>
  </si>
  <si>
    <t xml:space="preserve">              C+I circuite secundare servicii interne</t>
  </si>
  <si>
    <t xml:space="preserve">              Inst. el. ilum. interior  cam. c-da, BA, magazie, hol si cam de conex 6kV</t>
  </si>
  <si>
    <t xml:space="preserve">              Modernizarea instalatiei de iluminat exterior</t>
  </si>
  <si>
    <t xml:space="preserve">              Instalatie de legare la pamnat si paratrasnete</t>
  </si>
  <si>
    <t xml:space="preserve">              Provizorate circuite primare 6kV</t>
  </si>
  <si>
    <t>4.2.4.68</t>
  </si>
  <si>
    <t>4.2.4.69</t>
  </si>
  <si>
    <t>4.2.4.70</t>
  </si>
  <si>
    <t>4.2.4.71</t>
  </si>
  <si>
    <t>4.2.4.72</t>
  </si>
  <si>
    <t>4.2.4.73</t>
  </si>
  <si>
    <t>4.2.4.74</t>
  </si>
  <si>
    <t>4.2.4.75</t>
  </si>
  <si>
    <t>4.2.4.76</t>
  </si>
  <si>
    <t>4.2.4.77</t>
  </si>
  <si>
    <t>4.2.4.78</t>
  </si>
  <si>
    <t>4.2.4.79</t>
  </si>
  <si>
    <t xml:space="preserve">              #(1)Montare utilaj montare trafo 110/MT</t>
  </si>
  <si>
    <t xml:space="preserve">              #(1)Montare utilaje circuite primare 110 kV</t>
  </si>
  <si>
    <t xml:space="preserve">              #(2)Montare utilaje circuite secundare 110 kV</t>
  </si>
  <si>
    <t xml:space="preserve">              #(3)Montare utilaj 6kV</t>
  </si>
  <si>
    <t xml:space="preserve">              #(4)Montare utilaj circuite primare GTN</t>
  </si>
  <si>
    <t xml:space="preserve">              #(5)Montare utilaj circuite secundare GTN</t>
  </si>
  <si>
    <t xml:space="preserve">              #(6)Montare utilaj BK</t>
  </si>
  <si>
    <t xml:space="preserve">              #(7)Montare utilaj servicii interne</t>
  </si>
  <si>
    <t xml:space="preserve">              #(8)Montare utilaj instalatii</t>
  </si>
  <si>
    <t xml:space="preserve">              #(9)Montare Utilaj PSC</t>
  </si>
  <si>
    <t xml:space="preserve">              #(10)Montare Utilaj Telecomunicatii</t>
  </si>
  <si>
    <t xml:space="preserve">              #(11)Montare utilaj SCADA</t>
  </si>
  <si>
    <t>4.3.4.10</t>
  </si>
  <si>
    <t>4.3.4.11</t>
  </si>
  <si>
    <t xml:space="preserve">              3 Lista echipamente celule 6 kV</t>
  </si>
  <si>
    <t xml:space="preserve">              4 Lista echipamente circuite primare GTN</t>
  </si>
  <si>
    <t xml:space="preserve">              5 Lista echipamente circuite secundare  GTN</t>
  </si>
  <si>
    <t xml:space="preserve">              6 Lista echipamente BK</t>
  </si>
  <si>
    <t xml:space="preserve">              7 Lista echipamente servicii interne</t>
  </si>
  <si>
    <t xml:space="preserve">              8 Lista echipamente statia interioara</t>
  </si>
  <si>
    <t xml:space="preserve">              9 Lista echipamente PSC</t>
  </si>
  <si>
    <t xml:space="preserve">              10 Lista echipamente Telecomunicatii</t>
  </si>
  <si>
    <t xml:space="preserve">              11 Lista echipamente SCADA</t>
  </si>
  <si>
    <t xml:space="preserve">              Demolare TT 110 kV GARA</t>
  </si>
  <si>
    <t xml:space="preserve">              Demolare TC 110 kV GARA</t>
  </si>
  <si>
    <t xml:space="preserve">              Demolare intrerupatoare 110 kV GARA</t>
  </si>
  <si>
    <t xml:space="preserve">              Demolare STEP2P 110 kV GARA</t>
  </si>
  <si>
    <t xml:space="preserve">              Demolare fundatii MOP GARA</t>
  </si>
  <si>
    <t xml:space="preserve">              Demolare STEP 20 kV +RN (1+1) GARA</t>
  </si>
  <si>
    <t xml:space="preserve">              Demolare MT+JT (TSI 1, 2 ) GARA</t>
  </si>
  <si>
    <t xml:space="preserve">              Demolare descarcatoare 110 kV GARA</t>
  </si>
  <si>
    <t>PN Gara</t>
  </si>
  <si>
    <t xml:space="preserve">              2 Lista echipamente circuite secundare statie 110 kV</t>
  </si>
  <si>
    <t xml:space="preserve">              3 Lista echipamente circuite primare 20 kV</t>
  </si>
  <si>
    <t xml:space="preserve">              5 Lista echipamente BK</t>
  </si>
  <si>
    <t xml:space="preserve">              6 Lista echipamente servicii interne</t>
  </si>
  <si>
    <t xml:space="preserve">              7 Lista echipamente statia interioara</t>
  </si>
  <si>
    <t xml:space="preserve">              9 Lista echipamente Telecomunicatii</t>
  </si>
  <si>
    <t xml:space="preserve">              10 Lista echipamente SCADA</t>
  </si>
  <si>
    <t>1.2.6.11</t>
  </si>
  <si>
    <t>1.2.6.12</t>
  </si>
  <si>
    <t>1.2.6.13</t>
  </si>
  <si>
    <t>1.3.6.14</t>
  </si>
  <si>
    <t>4.2.6.71</t>
  </si>
  <si>
    <t xml:space="preserve">              #(1)Montare utilaj circuite primare 110 kV</t>
  </si>
  <si>
    <t xml:space="preserve">              #(2)Montare utilaj circuite secundare statie 110 kV</t>
  </si>
  <si>
    <t xml:space="preserve">              #(3)Montare utilaj circuite primare 20 kV</t>
  </si>
  <si>
    <t xml:space="preserve">              #(4)Montare utilaj GTN si SI</t>
  </si>
  <si>
    <t xml:space="preserve">              #(5)Montare utilaj BK</t>
  </si>
  <si>
    <t xml:space="preserve">              #(6)Montare utilaj servicii interne</t>
  </si>
  <si>
    <t xml:space="preserve">              #(7)Montare utilaj instalatii de iluminat interior</t>
  </si>
  <si>
    <t xml:space="preserve">              #(8)Montare Utilaj PSC</t>
  </si>
  <si>
    <t xml:space="preserve">              #(9)Montare Utilaj Telecomunicatii</t>
  </si>
  <si>
    <t xml:space="preserve">              #(10)Montare utilaj SCADA</t>
  </si>
  <si>
    <t xml:space="preserve">              Demontare trafo 110/20 kV</t>
  </si>
  <si>
    <t xml:space="preserve">              Demontare circuite primare 110 kV</t>
  </si>
  <si>
    <t xml:space="preserve">              Demontare celule 20 kV</t>
  </si>
  <si>
    <t xml:space="preserve">              Demontari circ. primare GTN si servicii interne</t>
  </si>
  <si>
    <t xml:space="preserve">              Demontari instalatii interioare corp conexiuni</t>
  </si>
  <si>
    <t xml:space="preserve">              Demontare circuite secundare 20 kV</t>
  </si>
  <si>
    <t xml:space="preserve">              Demontari servicii interne c.a./c.c.</t>
  </si>
  <si>
    <t xml:space="preserve">              Reabilitare cuva trafo</t>
  </si>
  <si>
    <t xml:space="preserve">              Construire fundatii TT 110 kV</t>
  </si>
  <si>
    <t xml:space="preserve">              Contruire fundatii TC 110kV</t>
  </si>
  <si>
    <t xml:space="preserve">              Contruire fundatii intrerupatoare 110 kV</t>
  </si>
  <si>
    <t xml:space="preserve">              Contruire fundatii separatoare 110 kV</t>
  </si>
  <si>
    <t xml:space="preserve">              Contruire fundatii cutie cleme GARA</t>
  </si>
  <si>
    <t xml:space="preserve">              Fundatii stalpi iluminat perimetral</t>
  </si>
  <si>
    <t xml:space="preserve">              Fundatii ansamblu TSI+RN</t>
  </si>
  <si>
    <t xml:space="preserve">              Reabilitare Imprejmuire</t>
  </si>
  <si>
    <t xml:space="preserve">              Reparatii camera comanda/conexiuni GARA</t>
  </si>
  <si>
    <t xml:space="preserve">              Tamplarie (usi, ferestre, gratii) GARA</t>
  </si>
  <si>
    <t xml:space="preserve">              Instalatii sanitare GARA</t>
  </si>
  <si>
    <t xml:space="preserve">              C+I  primare 110 kV</t>
  </si>
  <si>
    <t xml:space="preserve">              Constructii+ Instalatii circuite primare 20 kV</t>
  </si>
  <si>
    <t xml:space="preserve">              C+I secundare statie 20 kV</t>
  </si>
  <si>
    <t xml:space="preserve">              C+I grup tratare neutru si servicii interne</t>
  </si>
  <si>
    <t xml:space="preserve">              LES 20 kV - Racord TSI+RN</t>
  </si>
  <si>
    <t xml:space="preserve">              LES 0,4 kV - Racord TSI+RN</t>
  </si>
  <si>
    <t xml:space="preserve">              Instalatie electrica iluminat normal</t>
  </si>
  <si>
    <t xml:space="preserve">              Instalatie electrica iluminat siguranta</t>
  </si>
  <si>
    <t xml:space="preserve">              Instalatia electrica de forta</t>
  </si>
  <si>
    <t xml:space="preserve">              Instalatia electrica climatizare</t>
  </si>
  <si>
    <t xml:space="preserve">              Instalatii de iluminat perimetral</t>
  </si>
  <si>
    <t xml:space="preserve">              Refacere iluminat local/tehnologic</t>
  </si>
  <si>
    <t xml:space="preserve">              Reparare paratrasnete- conf. metal</t>
  </si>
  <si>
    <t xml:space="preserve">              Provizorat 20 kV</t>
  </si>
  <si>
    <t>1.2.8.1</t>
  </si>
  <si>
    <t>1.2.8.2</t>
  </si>
  <si>
    <t>1.2.8.3</t>
  </si>
  <si>
    <t>1.2.8.4</t>
  </si>
  <si>
    <t>1.2.8.5</t>
  </si>
  <si>
    <t>1.2.8.6</t>
  </si>
  <si>
    <t>1.2.8.7</t>
  </si>
  <si>
    <t>1.2.8.8</t>
  </si>
  <si>
    <t>1.2.8.9</t>
  </si>
  <si>
    <t>1.2.8.10</t>
  </si>
  <si>
    <t>1.2.8.11</t>
  </si>
  <si>
    <t>1.2.8.12</t>
  </si>
  <si>
    <t>1.2.8.13</t>
  </si>
  <si>
    <t xml:space="preserve">              DEMOLARE DESCARACATOARE 110 kV</t>
  </si>
  <si>
    <t>Delnita</t>
  </si>
  <si>
    <t>1.3.8.14</t>
  </si>
  <si>
    <t>4.3.8.1</t>
  </si>
  <si>
    <t>4.3.8.2</t>
  </si>
  <si>
    <t>4.3.8.3</t>
  </si>
  <si>
    <t>4.3.8.4</t>
  </si>
  <si>
    <t>4.3.8.5</t>
  </si>
  <si>
    <t>4.3.8.6</t>
  </si>
  <si>
    <t>4.3.8.7</t>
  </si>
  <si>
    <t>4.3.8.8</t>
  </si>
  <si>
    <t>4.3.8.9</t>
  </si>
  <si>
    <t>4.3.8.10</t>
  </si>
  <si>
    <t>4.3.8.11</t>
  </si>
  <si>
    <t>4.3.8.12</t>
  </si>
  <si>
    <t>4.3.8.13</t>
  </si>
  <si>
    <t xml:space="preserve">              1 Lista echipamente: Circuite primare 110 kV</t>
  </si>
  <si>
    <t xml:space="preserve">              2 Lista echipamente: Circuite secundare statie 110 kV</t>
  </si>
  <si>
    <t xml:space="preserve">              3 Lista echipamente: Circuite primare celule 20 kV</t>
  </si>
  <si>
    <t xml:space="preserve">              4 Lista echipamente: Circuite primare GTN 1 si GTN 2</t>
  </si>
  <si>
    <t xml:space="preserve">              5 Lista echipamente: Circuite secundare GTN1 si GTN 2</t>
  </si>
  <si>
    <t xml:space="preserve">              6 Lista echipamente: Circuite primare BK</t>
  </si>
  <si>
    <t xml:space="preserve">              7 Lista echipamente: circuite secundare SI C.A.</t>
  </si>
  <si>
    <t xml:space="preserve">              8 Lista echipamente: Circuite secundare SI C.C.</t>
  </si>
  <si>
    <t xml:space="preserve">              9 Lista echipamente: Instalatii</t>
  </si>
  <si>
    <t xml:space="preserve">              10 Lista echipamente securitate perimetrala</t>
  </si>
  <si>
    <t xml:space="preserve">              11 Lista echipamente PSC</t>
  </si>
  <si>
    <t xml:space="preserve">              12 Lista echipamente telecomunicatii</t>
  </si>
  <si>
    <t xml:space="preserve">              13 Lista echipamente SCADA</t>
  </si>
  <si>
    <t>4.2.8.70</t>
  </si>
  <si>
    <t>4.2.8.71</t>
  </si>
  <si>
    <t>4.2.8.72</t>
  </si>
  <si>
    <t>4.2.8.73</t>
  </si>
  <si>
    <t>4.2.8.74</t>
  </si>
  <si>
    <t>4.2.8.75</t>
  </si>
  <si>
    <t>4.2.8.76</t>
  </si>
  <si>
    <t>4.2.8.77</t>
  </si>
  <si>
    <t>4.2.8.78</t>
  </si>
  <si>
    <t>4.2.8.79</t>
  </si>
  <si>
    <t>4.2.8.80</t>
  </si>
  <si>
    <t>4.2.8.81</t>
  </si>
  <si>
    <t>4.2.8.82</t>
  </si>
  <si>
    <t>4.2.8.83</t>
  </si>
  <si>
    <t xml:space="preserve">              # (1)Montare utilaj transformator 110/20 kV</t>
  </si>
  <si>
    <t xml:space="preserve">              # (1)Montare utilaj circuite primare 110 kV</t>
  </si>
  <si>
    <t xml:space="preserve">              # (2)Montare utilaj circuite secundare statie 110 kV</t>
  </si>
  <si>
    <t xml:space="preserve">              # (3)Montare utilaj circuite primare celule 20 kV</t>
  </si>
  <si>
    <t xml:space="preserve">              # (4)Montare utilaj circuite primare GTN1 si GTN 2</t>
  </si>
  <si>
    <t xml:space="preserve">              # (5)Montare utilaj circuite secundare GTN si GTN 2</t>
  </si>
  <si>
    <t xml:space="preserve">              # (6)Montare utilaj BK</t>
  </si>
  <si>
    <t xml:space="preserve">              # (7)Montare utilaj circuite secundare SI C.A.</t>
  </si>
  <si>
    <t xml:space="preserve">              # (8)Montare utilaj circuite secundare SI C.C.</t>
  </si>
  <si>
    <t xml:space="preserve">              # (9)Montare utilaj  instalatii</t>
  </si>
  <si>
    <t xml:space="preserve">              # (10)Montare utilaj sistem de securitate</t>
  </si>
  <si>
    <t xml:space="preserve">              # (11)Montare utilaj PSC</t>
  </si>
  <si>
    <t xml:space="preserve">              # (12)Montare utilaj telecom</t>
  </si>
  <si>
    <t xml:space="preserve">              # (13)Montare utilaj SCADA</t>
  </si>
  <si>
    <t>4.1.8.22</t>
  </si>
  <si>
    <t>4.1.8.23</t>
  </si>
  <si>
    <t>4.1.8.24</t>
  </si>
  <si>
    <t>4.1.8.25</t>
  </si>
  <si>
    <t>4.1.8.26</t>
  </si>
  <si>
    <t>4.1.8.27</t>
  </si>
  <si>
    <t>4.1.8.28</t>
  </si>
  <si>
    <t>4.1.8.29</t>
  </si>
  <si>
    <t>4.1.8.30</t>
  </si>
  <si>
    <t>4.1.8.31</t>
  </si>
  <si>
    <t>4.1.8.32</t>
  </si>
  <si>
    <t>4.1.8.33</t>
  </si>
  <si>
    <t>4.1.8.34</t>
  </si>
  <si>
    <t>4.1.8.35</t>
  </si>
  <si>
    <t>4.1.8.36</t>
  </si>
  <si>
    <t>4.1.8.37</t>
  </si>
  <si>
    <t>4.1.8.38</t>
  </si>
  <si>
    <t>4.1.8.39</t>
  </si>
  <si>
    <t>4.1.8.40</t>
  </si>
  <si>
    <t>4.1.8.41</t>
  </si>
  <si>
    <t>4.1.8.42</t>
  </si>
  <si>
    <t>4.1.8.43</t>
  </si>
  <si>
    <t>4.1.8.44</t>
  </si>
  <si>
    <t>4.1.8.45</t>
  </si>
  <si>
    <t>4.1.8.46</t>
  </si>
  <si>
    <t>4.1.8.47</t>
  </si>
  <si>
    <t>4.1.8.48</t>
  </si>
  <si>
    <t>4.1.8.49</t>
  </si>
  <si>
    <t>4.1.8.50</t>
  </si>
  <si>
    <t>4.1.8.51</t>
  </si>
  <si>
    <t>4.1.8.52</t>
  </si>
  <si>
    <t>4.1.8.53</t>
  </si>
  <si>
    <t>4.1.8.54</t>
  </si>
  <si>
    <t>4.1.8.55</t>
  </si>
  <si>
    <t>4.1.8.56</t>
  </si>
  <si>
    <t>4.1.8.57</t>
  </si>
  <si>
    <t>4.1.8.58</t>
  </si>
  <si>
    <t>4.1.8.59</t>
  </si>
  <si>
    <t>4.1.8.60</t>
  </si>
  <si>
    <t>4.1.8.61</t>
  </si>
  <si>
    <t>4.1.8.62</t>
  </si>
  <si>
    <t>4.1.8.63</t>
  </si>
  <si>
    <t>4.1.8.64</t>
  </si>
  <si>
    <t>4.1.8.65</t>
  </si>
  <si>
    <t>4.1.8.66</t>
  </si>
  <si>
    <t>4.1.8.67</t>
  </si>
  <si>
    <t>4.1.8.68</t>
  </si>
  <si>
    <t>4.1.8.69</t>
  </si>
  <si>
    <t xml:space="preserve">              Demontare pod de bare trafo 110/6 kV</t>
  </si>
  <si>
    <t xml:space="preserve">              DEMONTARE CIRCUITE SECUNDARE 110 kV</t>
  </si>
  <si>
    <t xml:space="preserve">              DEMONTARE CIRCUITE PRIMARE 20 kV</t>
  </si>
  <si>
    <t xml:space="preserve">              DEMONTARE GRUP TRATARE NEUTRU 1 SI 2</t>
  </si>
  <si>
    <t xml:space="preserve">              REABILITARE CUVA TRAFO</t>
  </si>
  <si>
    <t xml:space="preserve">              REABILITARE IMPREJMUIRE</t>
  </si>
  <si>
    <t xml:space="preserve">              CANAL CABLURI si DALE</t>
  </si>
  <si>
    <t xml:space="preserve">              REPARATII CORP COMANDA/CONEXIUNI</t>
  </si>
  <si>
    <t xml:space="preserve">              Bazin Vidanjabil</t>
  </si>
  <si>
    <t xml:space="preserve">              Put Forat</t>
  </si>
  <si>
    <t xml:space="preserve">              CIRCUITE SECUNDARE IN STATIE 110 kV</t>
  </si>
  <si>
    <t xml:space="preserve">              Constructii si instalatii PDL</t>
  </si>
  <si>
    <t xml:space="preserve">              CIRCUITE PRIMARE IN CELULE 20 kV</t>
  </si>
  <si>
    <t xml:space="preserve">              CIRCUITE PRIMARE GRUP TRATARE NEUTRU 1 SI 2</t>
  </si>
  <si>
    <t xml:space="preserve">              CIRCUITE SECUNDARE GRUP TRATARE NEUTRU 1 SI 2</t>
  </si>
  <si>
    <t xml:space="preserve">              Completari Sistem de securitate perimetrala</t>
  </si>
  <si>
    <t>Iacobeni</t>
  </si>
  <si>
    <t>Radiatoare</t>
  </si>
  <si>
    <t>Tarnita</t>
  </si>
  <si>
    <t>Mirauti</t>
  </si>
  <si>
    <t>1.2.11.1</t>
  </si>
  <si>
    <t>1.2.11.2</t>
  </si>
  <si>
    <t>1.2.11.3</t>
  </si>
  <si>
    <t>1.2.11.4</t>
  </si>
  <si>
    <t>1.2.11.5</t>
  </si>
  <si>
    <t>1.2.11.6</t>
  </si>
  <si>
    <t>1.2.11.7</t>
  </si>
  <si>
    <t>1.2.11.8</t>
  </si>
  <si>
    <t>1.2.11.9</t>
  </si>
  <si>
    <t>1.2.11.10</t>
  </si>
  <si>
    <t>1.2.11.11</t>
  </si>
  <si>
    <t>1.2.11.12</t>
  </si>
  <si>
    <t>1.2.11.13</t>
  </si>
  <si>
    <t>1.2.11.14</t>
  </si>
  <si>
    <t>1.2.11.15</t>
  </si>
  <si>
    <t xml:space="preserve">              Demolare fundatii Trafo 20/6 si celula ACELA</t>
  </si>
  <si>
    <t xml:space="preserve">              Demolare fundatii TSI</t>
  </si>
  <si>
    <t>1.3.11.16</t>
  </si>
  <si>
    <t xml:space="preserve">              4 Lista echipamente SI</t>
  </si>
  <si>
    <t xml:space="preserve">              7 Lista echipamente securitate perimetrala</t>
  </si>
  <si>
    <t>4.3.11.1</t>
  </si>
  <si>
    <t>4.3.12.2</t>
  </si>
  <si>
    <t>4.3.11.2</t>
  </si>
  <si>
    <t>4.3.11.3</t>
  </si>
  <si>
    <t>4.3.11.4</t>
  </si>
  <si>
    <t>4.3.11.5</t>
  </si>
  <si>
    <t>4.3.11.6</t>
  </si>
  <si>
    <t>4.3.11.7</t>
  </si>
  <si>
    <t>4.3.11.8</t>
  </si>
  <si>
    <t>4.3.11.9</t>
  </si>
  <si>
    <t>4.3.11.10</t>
  </si>
  <si>
    <t>4.2.11.78</t>
  </si>
  <si>
    <t>4.2.11.79</t>
  </si>
  <si>
    <t>4.2.11.80</t>
  </si>
  <si>
    <t>4.2.11.81</t>
  </si>
  <si>
    <t>4.2.11.82</t>
  </si>
  <si>
    <t>4.2.11.83</t>
  </si>
  <si>
    <t>4.2.11.84</t>
  </si>
  <si>
    <t>4.2.11.85</t>
  </si>
  <si>
    <t>4.2.11.86</t>
  </si>
  <si>
    <t>4.2.11.87</t>
  </si>
  <si>
    <t>4.2.11.88</t>
  </si>
  <si>
    <t xml:space="preserve">              # (1)Montare transformator 110/20 kV</t>
  </si>
  <si>
    <t xml:space="preserve">              # (1)Montare utilaj circ primare 110 kV</t>
  </si>
  <si>
    <t xml:space="preserve">              # (2)Montare utilaj circ sec 110 kV</t>
  </si>
  <si>
    <t xml:space="preserve">              # (3)Montare utilaj celule 20 kV</t>
  </si>
  <si>
    <t xml:space="preserve">              # (4)Montare utilaj servicii interne</t>
  </si>
  <si>
    <t xml:space="preserve">              # (5)Montare Utilaj servicii interne c.a. si c.c.</t>
  </si>
  <si>
    <t xml:space="preserve">              # (6)Montare utilaj instalatii</t>
  </si>
  <si>
    <t xml:space="preserve">              # (7)Montare utilaj sistem de securitate</t>
  </si>
  <si>
    <t xml:space="preserve">              # (8)Montare utilaj PSC</t>
  </si>
  <si>
    <t xml:space="preserve">              # (9)Montare Utilaj Telecomunicatii</t>
  </si>
  <si>
    <t xml:space="preserve">              # (10)Montare utilaj SCADA</t>
  </si>
  <si>
    <t>4.1.11.34</t>
  </si>
  <si>
    <t>4.1.11.35</t>
  </si>
  <si>
    <t>4.1.11.36</t>
  </si>
  <si>
    <t>4.1.11.37</t>
  </si>
  <si>
    <t>4.1.11.38</t>
  </si>
  <si>
    <t>4.1.11.39</t>
  </si>
  <si>
    <t>4.1.11.40</t>
  </si>
  <si>
    <t>4.1.11.41</t>
  </si>
  <si>
    <t>4.1.11.42</t>
  </si>
  <si>
    <t>4.1.11.43</t>
  </si>
  <si>
    <t>4.1.11.44</t>
  </si>
  <si>
    <t>4.1.11.45</t>
  </si>
  <si>
    <t>4.1.11.46</t>
  </si>
  <si>
    <t>4.1.11.47</t>
  </si>
  <si>
    <t>4.1.11.48</t>
  </si>
  <si>
    <t>4.1.11.49</t>
  </si>
  <si>
    <t>4.1.11.50</t>
  </si>
  <si>
    <t>4.1.11.51</t>
  </si>
  <si>
    <t>4.1.11.52</t>
  </si>
  <si>
    <t>4.1.11.53</t>
  </si>
  <si>
    <t>4.1.11.54</t>
  </si>
  <si>
    <t>4.1.11.55</t>
  </si>
  <si>
    <t>4.1.11.56</t>
  </si>
  <si>
    <t>4.1.11.57</t>
  </si>
  <si>
    <t>4.1.11.58</t>
  </si>
  <si>
    <t>4.1.11.59</t>
  </si>
  <si>
    <t>4.1.11.60</t>
  </si>
  <si>
    <t>4.1.11.61</t>
  </si>
  <si>
    <t>4.1.11.62</t>
  </si>
  <si>
    <t>4.1.11.63</t>
  </si>
  <si>
    <t>4.1.11.64</t>
  </si>
  <si>
    <t>4.1.11.65</t>
  </si>
  <si>
    <t>4.1.11.66</t>
  </si>
  <si>
    <t>4.1.11.67</t>
  </si>
  <si>
    <t>4.1.11.68</t>
  </si>
  <si>
    <t>4.1.11.69</t>
  </si>
  <si>
    <t>4.1.11.70</t>
  </si>
  <si>
    <t>4.1.11.71</t>
  </si>
  <si>
    <t>4.1.11.72</t>
  </si>
  <si>
    <t>4.1.11.73</t>
  </si>
  <si>
    <t>4.1.11.74</t>
  </si>
  <si>
    <t>4.1.11.75</t>
  </si>
  <si>
    <t>4.1.11.76</t>
  </si>
  <si>
    <t>4.1.11.77</t>
  </si>
  <si>
    <t xml:space="preserve">              Demontare celule 110 kV circ primare</t>
  </si>
  <si>
    <t xml:space="preserve">              Demontare celule 110 kV circ sec</t>
  </si>
  <si>
    <t xml:space="preserve">              Demontare Trafo 110 / 6 kV</t>
  </si>
  <si>
    <t xml:space="preserve">              Demontare trafo 20/6 kV</t>
  </si>
  <si>
    <t xml:space="preserve">              Demontare TSI</t>
  </si>
  <si>
    <t xml:space="preserve">              Demontare celula ACELA 20 kV</t>
  </si>
  <si>
    <t xml:space="preserve">              Instalatii cel 110 kV circuite primare</t>
  </si>
  <si>
    <t xml:space="preserve">              Instalatii celule 110 kV circuite secundare</t>
  </si>
  <si>
    <t xml:space="preserve">              Lucrari de circuite primare 20 kV</t>
  </si>
  <si>
    <t xml:space="preserve">              Lucrari de circuite secundare 20 kV</t>
  </si>
  <si>
    <t xml:space="preserve">              LES 20 kV - Racord TSI</t>
  </si>
  <si>
    <t xml:space="preserve">              LES 0,4 kV - Racord TSI</t>
  </si>
  <si>
    <t>4.3.12.1</t>
  </si>
  <si>
    <t>4.3.12.3</t>
  </si>
  <si>
    <t>4.3.12.4</t>
  </si>
  <si>
    <t>4.3.12.5</t>
  </si>
  <si>
    <t>4.3.12.6</t>
  </si>
  <si>
    <t>4.3.12.7</t>
  </si>
  <si>
    <t>4.3.12.8</t>
  </si>
  <si>
    <t>4.3.12.9</t>
  </si>
  <si>
    <t>4.3.12.10</t>
  </si>
  <si>
    <t>4.2.12.72</t>
  </si>
  <si>
    <t>4.2.12.73</t>
  </si>
  <si>
    <t>4.2.12.74</t>
  </si>
  <si>
    <t>4.2.12.75</t>
  </si>
  <si>
    <t>4.2.12.76</t>
  </si>
  <si>
    <t>4.2.12.77</t>
  </si>
  <si>
    <t>4.2.12.78</t>
  </si>
  <si>
    <t>4.2.12.79</t>
  </si>
  <si>
    <t>4.2.12.80</t>
  </si>
  <si>
    <t>4.2.12.81</t>
  </si>
  <si>
    <t>4.2.12.82</t>
  </si>
  <si>
    <t>1.2.12.1</t>
  </si>
  <si>
    <t>1.2.12.2</t>
  </si>
  <si>
    <t>1.2.12.3</t>
  </si>
  <si>
    <t>1.2.12.4</t>
  </si>
  <si>
    <t>1.2.12.5</t>
  </si>
  <si>
    <t>1.2.12.6</t>
  </si>
  <si>
    <t>1.2.12.7</t>
  </si>
  <si>
    <t>1.2.12.8</t>
  </si>
  <si>
    <t>1.2.12.9</t>
  </si>
  <si>
    <t>1.2.12.10</t>
  </si>
  <si>
    <t>1.2.12.11</t>
  </si>
  <si>
    <t>1.2.12.12</t>
  </si>
  <si>
    <t>1.2.12.13</t>
  </si>
  <si>
    <t>1.2.12.14</t>
  </si>
  <si>
    <t xml:space="preserve">              Demolare fundatii TSI + RN</t>
  </si>
  <si>
    <t>1.3.12.15</t>
  </si>
  <si>
    <t>4.1.12.29</t>
  </si>
  <si>
    <t>4.1.12.30</t>
  </si>
  <si>
    <t>4.1.12.31</t>
  </si>
  <si>
    <t>4.1.12.32</t>
  </si>
  <si>
    <t>4.1.12.33</t>
  </si>
  <si>
    <t>4.1.12.34</t>
  </si>
  <si>
    <t>4.1.12.35</t>
  </si>
  <si>
    <t>4.1.12.36</t>
  </si>
  <si>
    <t>4.1.12.37</t>
  </si>
  <si>
    <t>4.1.12.38</t>
  </si>
  <si>
    <t>4.1.12.39</t>
  </si>
  <si>
    <t>4.1.12.40</t>
  </si>
  <si>
    <t>4.1.12.41</t>
  </si>
  <si>
    <t>4.1.12.42</t>
  </si>
  <si>
    <t>4.1.12.43</t>
  </si>
  <si>
    <t>4.1.12.44</t>
  </si>
  <si>
    <t>4.1.12.45</t>
  </si>
  <si>
    <t>4.1.12.46</t>
  </si>
  <si>
    <t>4.1.12.47</t>
  </si>
  <si>
    <t>4.1.12.48</t>
  </si>
  <si>
    <t>4.1.12.49</t>
  </si>
  <si>
    <t>4.1.12.50</t>
  </si>
  <si>
    <t>4.1.12.51</t>
  </si>
  <si>
    <t>4.1.12.52</t>
  </si>
  <si>
    <t>4.1.12.53</t>
  </si>
  <si>
    <t>4.1.12.54</t>
  </si>
  <si>
    <t>4.1.12.55</t>
  </si>
  <si>
    <t>4.1.12.56</t>
  </si>
  <si>
    <t>4.1.12.57</t>
  </si>
  <si>
    <t>4.1.12.58</t>
  </si>
  <si>
    <t>4.1.12.59</t>
  </si>
  <si>
    <t>4.1.12.60</t>
  </si>
  <si>
    <t>4.1.12.61</t>
  </si>
  <si>
    <t>4.1.12.62</t>
  </si>
  <si>
    <t>4.1.12.63</t>
  </si>
  <si>
    <t>4.1.12.64</t>
  </si>
  <si>
    <t>4.1.12.65</t>
  </si>
  <si>
    <t>4.1.12.66</t>
  </si>
  <si>
    <t>4.1.12.67</t>
  </si>
  <si>
    <t>4.1.12.68</t>
  </si>
  <si>
    <t>4.1.12.69</t>
  </si>
  <si>
    <t>4.1.12.70</t>
  </si>
  <si>
    <t>4.1.12.71</t>
  </si>
  <si>
    <t xml:space="preserve">              Demontare cel 110 kV circ primare</t>
  </si>
  <si>
    <t xml:space="preserve">              Demontare cel 110 kV circ sec</t>
  </si>
  <si>
    <t xml:space="preserve">              Demontare circuite primare 20 kV</t>
  </si>
  <si>
    <t xml:space="preserve">              Demontare prize de pamant</t>
  </si>
  <si>
    <t xml:space="preserve">              Invelitoare si sistem pluvial</t>
  </si>
  <si>
    <t xml:space="preserve">              Stalp cadru 11,6 m</t>
  </si>
  <si>
    <t xml:space="preserve">              Circuite secundare -BK</t>
  </si>
  <si>
    <t xml:space="preserve">              Instalatia de iluminat normal si forta</t>
  </si>
  <si>
    <t xml:space="preserve">              Instalatia de iluminat de siguranta</t>
  </si>
  <si>
    <t xml:space="preserve">              Instalatia de legare la pamant si paratrasnete</t>
  </si>
  <si>
    <t>1.2.5.1</t>
  </si>
  <si>
    <t>1.2.10.1</t>
  </si>
  <si>
    <t>1.2.10.2</t>
  </si>
  <si>
    <t>1.2.10.3</t>
  </si>
  <si>
    <t>1.2.10.4</t>
  </si>
  <si>
    <t>1.2.10.5</t>
  </si>
  <si>
    <t>1.2.10.6</t>
  </si>
  <si>
    <t>1.2.10.7</t>
  </si>
  <si>
    <t>1.2.10.8</t>
  </si>
  <si>
    <t xml:space="preserve">              DEMOLARE TSI + RN</t>
  </si>
  <si>
    <t>1.3.10.13</t>
  </si>
  <si>
    <t xml:space="preserve">              DEMONTARE CIRCUITE PRIMARE 6 kV + POD DE BARE</t>
  </si>
  <si>
    <t>4.1.10.14</t>
  </si>
  <si>
    <t>4.1.10.15</t>
  </si>
  <si>
    <t>4.1.10.16</t>
  </si>
  <si>
    <t>4.1.10.17</t>
  </si>
  <si>
    <t>4.1.10.18</t>
  </si>
  <si>
    <t>4.1.10.19</t>
  </si>
  <si>
    <t>4.1.10.20</t>
  </si>
  <si>
    <t>4.1.10.21</t>
  </si>
  <si>
    <t>4.1.10.22</t>
  </si>
  <si>
    <t>4.1.10.23</t>
  </si>
  <si>
    <t>4.1.10.24</t>
  </si>
  <si>
    <t>4.1.10.25</t>
  </si>
  <si>
    <t>4.1.10.26</t>
  </si>
  <si>
    <t>4.1.10.27</t>
  </si>
  <si>
    <t>4.1.10.28</t>
  </si>
  <si>
    <t>4.1.10.29</t>
  </si>
  <si>
    <t>4.1.10.30</t>
  </si>
  <si>
    <t>4.1.10.31</t>
  </si>
  <si>
    <t>4.1.10.32</t>
  </si>
  <si>
    <t>4.1.10.33</t>
  </si>
  <si>
    <t>4.1.10.34</t>
  </si>
  <si>
    <t>4.1.10.35</t>
  </si>
  <si>
    <t>4.1.10.36</t>
  </si>
  <si>
    <t>4.1.10.37</t>
  </si>
  <si>
    <t>4.1.10.38</t>
  </si>
  <si>
    <t>4.1.10.39</t>
  </si>
  <si>
    <t>4.1.10.40</t>
  </si>
  <si>
    <t>4.1.10.41</t>
  </si>
  <si>
    <t>4.1.10.42</t>
  </si>
  <si>
    <t>4.1.10.43</t>
  </si>
  <si>
    <t>4.1.10.44</t>
  </si>
  <si>
    <t>4.1.10.45</t>
  </si>
  <si>
    <t>4.1.10.46</t>
  </si>
  <si>
    <t>4.1.10.47</t>
  </si>
  <si>
    <t>4.1.10.48</t>
  </si>
  <si>
    <t>4.1.10.49</t>
  </si>
  <si>
    <t>4.1.10.50</t>
  </si>
  <si>
    <t>4.1.10.51</t>
  </si>
  <si>
    <t>4.1.10.52</t>
  </si>
  <si>
    <t>4.1.10.53</t>
  </si>
  <si>
    <t>4.1.10.54</t>
  </si>
  <si>
    <t>4.1.10.55</t>
  </si>
  <si>
    <t xml:space="preserve">              FUNDATII TC+D 110 kV</t>
  </si>
  <si>
    <t xml:space="preserve">              FUNDATII IZOLATOARE SUPORT NUL</t>
  </si>
  <si>
    <t xml:space="preserve">              FUNDATIE ANSAMBLU TSI + RN</t>
  </si>
  <si>
    <t xml:space="preserve">              FUNDATII BK</t>
  </si>
  <si>
    <t xml:space="preserve">              REPARARE GARD SI MONTARE SIRMA NATO</t>
  </si>
  <si>
    <t xml:space="preserve">              REPARARE CAPITEL STILPI</t>
  </si>
  <si>
    <t xml:space="preserve">              Inlocuire 2 rigle</t>
  </si>
  <si>
    <t xml:space="preserve">              CONSOLIDARE STILP CADRU</t>
  </si>
  <si>
    <t xml:space="preserve">              HIDROFOBIZARE STILP CADRU</t>
  </si>
  <si>
    <t xml:space="preserve">              REPARATII CORP COMANDA</t>
  </si>
  <si>
    <t xml:space="preserve">              BAZIN VIDANJABIL</t>
  </si>
  <si>
    <t xml:space="preserve">              SUPRAINALTARE ZID ANTIFOC</t>
  </si>
  <si>
    <t xml:space="preserve">              CIRCUITE SECUNDARE IN STATIE 110 kV + SCADA</t>
  </si>
  <si>
    <t xml:space="preserve">              CIRCUITE PRIMARE IN CELULE 6 kV</t>
  </si>
  <si>
    <t xml:space="preserve">              CIRCUITE SECUNDARE STATIE 6 KV</t>
  </si>
  <si>
    <t xml:space="preserve">              C+I PSC</t>
  </si>
  <si>
    <t xml:space="preserve">              C+I BK</t>
  </si>
  <si>
    <t xml:space="preserve">              BK-Circuite secundare</t>
  </si>
  <si>
    <t xml:space="preserve">              C+I  pod de bare exterior</t>
  </si>
  <si>
    <t xml:space="preserve">              Racord in cablu TRAFO</t>
  </si>
  <si>
    <t xml:space="preserve">              Mansonare LES celule 20 kV</t>
  </si>
  <si>
    <t xml:space="preserve">              PROVIZORATE CIRCUITE PRIMARE 110 kV</t>
  </si>
  <si>
    <t>4.2.10.56</t>
  </si>
  <si>
    <t>4.2.10.57</t>
  </si>
  <si>
    <t>4.2.10.58</t>
  </si>
  <si>
    <t>4.2.10.59</t>
  </si>
  <si>
    <t>4.2.10.60</t>
  </si>
  <si>
    <t>4.2.10.61</t>
  </si>
  <si>
    <t>4.2.10.62</t>
  </si>
  <si>
    <t>4.2.10.63</t>
  </si>
  <si>
    <t>4.2.10.64</t>
  </si>
  <si>
    <t>4.2.10.65</t>
  </si>
  <si>
    <t>4.2.10.66</t>
  </si>
  <si>
    <t xml:space="preserve">              MONTARE UTILAJ TRAFO 1 SI 2</t>
  </si>
  <si>
    <t xml:space="preserve">              MONTARE UTILAJ CIRCUITE PRIMARE 110 kV</t>
  </si>
  <si>
    <t xml:space="preserve">              MONTARE UTILAJ CIRCUITE SECUNDARE STATIE 110 kV SI SCADA</t>
  </si>
  <si>
    <t xml:space="preserve">              MONTARE UTILAJ CELULE 6 kV + POD DE BARE</t>
  </si>
  <si>
    <t xml:space="preserve">              MONTARE UTILAJ CIRCUITE PRIMARE GRUP TRATARE NEUTRU 1 SI 2</t>
  </si>
  <si>
    <t xml:space="preserve">              MONTARE UTILAJ CIRCUITE SECUNDARE SERVICII INTERNE C.A.</t>
  </si>
  <si>
    <t xml:space="preserve">              MONTARE UTILAJ CIRCUITE SECUNDARE SERVICII INTERNE C.C.</t>
  </si>
  <si>
    <t xml:space="preserve">              MONTARE UTILAJ  - COMPLETARI LA INSTALATII DE ILUMINAT INTERIOR</t>
  </si>
  <si>
    <t xml:space="preserve">              MONTARE UTILAJ PSC</t>
  </si>
  <si>
    <t xml:space="preserve">              MONTARE UTILAJ BK</t>
  </si>
  <si>
    <t xml:space="preserve">              Lista echipamente circuite primare 110 kV</t>
  </si>
  <si>
    <t xml:space="preserve">              Lista echipamente circuite secundare 110 kV SI SCADA</t>
  </si>
  <si>
    <t xml:space="preserve">              Lista echipamente circuite celule 6 kV</t>
  </si>
  <si>
    <t xml:space="preserve">              Lista echipamente circuite primare grup tratare neutru 1 si 2</t>
  </si>
  <si>
    <t xml:space="preserve">              Lista echipamente circuite secundare servicii interne c.a.</t>
  </si>
  <si>
    <t xml:space="preserve">              Lista echipamente circuite secundare servcii interne c.c.</t>
  </si>
  <si>
    <t xml:space="preserve">              Lista echipamente instalatia de iluminat</t>
  </si>
  <si>
    <t xml:space="preserve">              Lista echipamente Baterie de condensatoare</t>
  </si>
  <si>
    <t xml:space="preserve">              Lista echipamente PSC</t>
  </si>
  <si>
    <t xml:space="preserve">              Lista echipamente sistem alarmare efractie</t>
  </si>
  <si>
    <t>4.3.10.1</t>
  </si>
  <si>
    <t>4.3.10.2</t>
  </si>
  <si>
    <t>4.3.10.3</t>
  </si>
  <si>
    <t>4.3.10.4</t>
  </si>
  <si>
    <t>4.3.10.5</t>
  </si>
  <si>
    <t>4.3.10.6</t>
  </si>
  <si>
    <t>4.3.10.7</t>
  </si>
  <si>
    <t>4.3.10.8</t>
  </si>
  <si>
    <t>4.3.10.9</t>
  </si>
  <si>
    <t>4.3.10.10</t>
  </si>
  <si>
    <t>1.2.9.1</t>
  </si>
  <si>
    <t>1.2.9.2</t>
  </si>
  <si>
    <t>1.2.9.3</t>
  </si>
  <si>
    <t>1.2.9.4</t>
  </si>
  <si>
    <t>1.2.9.5</t>
  </si>
  <si>
    <t>1.2.9.6</t>
  </si>
  <si>
    <t>1.2.9.7</t>
  </si>
  <si>
    <t>1.2.9.8</t>
  </si>
  <si>
    <t>1.2.9.9</t>
  </si>
  <si>
    <t>1.2.9.10</t>
  </si>
  <si>
    <t>1.2.9.11</t>
  </si>
  <si>
    <t>1.2.9.12</t>
  </si>
  <si>
    <t xml:space="preserve">              DEMOLARE SN, DN</t>
  </si>
  <si>
    <t xml:space="preserve">              DEMOLARE FUNDATII POD BARE 20 KV</t>
  </si>
  <si>
    <t xml:space="preserve">              DEMOLARE TSI + BS 1 si 2</t>
  </si>
  <si>
    <t xml:space="preserve">              DEMOLARE CADRU (6S + 5R + 1S antena)</t>
  </si>
  <si>
    <t>1.3.9.19</t>
  </si>
  <si>
    <t xml:space="preserve">              DEMONTARE TRAFO</t>
  </si>
  <si>
    <t xml:space="preserve">              DEMONTARE CIRCUITE PRIMARE 20 kV + POD DE BARE</t>
  </si>
  <si>
    <t>4.1.9.20</t>
  </si>
  <si>
    <t>4.1.9.21</t>
  </si>
  <si>
    <t>4.1.9.22</t>
  </si>
  <si>
    <t>4.1.9.23</t>
  </si>
  <si>
    <t>4.1.9.24</t>
  </si>
  <si>
    <t>4.1.9.25</t>
  </si>
  <si>
    <t>4.1.9.26</t>
  </si>
  <si>
    <t>4.1.9.27</t>
  </si>
  <si>
    <t>4.1.9.28</t>
  </si>
  <si>
    <t>4.1.9.29</t>
  </si>
  <si>
    <t>4.1.9.30</t>
  </si>
  <si>
    <t>4.1.9.31</t>
  </si>
  <si>
    <t>4.1.9.32</t>
  </si>
  <si>
    <t>4.1.9.33</t>
  </si>
  <si>
    <t>4.1.9.34</t>
  </si>
  <si>
    <t>4.1.9.35</t>
  </si>
  <si>
    <t>4.1.9.36</t>
  </si>
  <si>
    <t>4.1.9.37</t>
  </si>
  <si>
    <t>4.1.9.38</t>
  </si>
  <si>
    <t>4.1.9.39</t>
  </si>
  <si>
    <t>4.1.9.40</t>
  </si>
  <si>
    <t>4.1.9.41</t>
  </si>
  <si>
    <t>4.1.9.42</t>
  </si>
  <si>
    <t>4.1.9.43</t>
  </si>
  <si>
    <t>4.1.9.44</t>
  </si>
  <si>
    <t>4.1.9.45</t>
  </si>
  <si>
    <t>4.1.9.46</t>
  </si>
  <si>
    <t>4.1.9.47</t>
  </si>
  <si>
    <t>4.1.9.48</t>
  </si>
  <si>
    <t>4.1.9.49</t>
  </si>
  <si>
    <t>4.1.9.50</t>
  </si>
  <si>
    <t>4.1.9.51</t>
  </si>
  <si>
    <t>4.1.9.52</t>
  </si>
  <si>
    <t>4.1.9.53</t>
  </si>
  <si>
    <t>4.1.9.54</t>
  </si>
  <si>
    <t>4.1.9.55</t>
  </si>
  <si>
    <t>4.1.9.56</t>
  </si>
  <si>
    <t>4.1.9.57</t>
  </si>
  <si>
    <t>4.1.9.58</t>
  </si>
  <si>
    <t>4.1.9.59</t>
  </si>
  <si>
    <t>4.1.9.60</t>
  </si>
  <si>
    <t>4.1.9.61</t>
  </si>
  <si>
    <t>4.1.9.62</t>
  </si>
  <si>
    <t>4.1.9.63</t>
  </si>
  <si>
    <t>4.1.9.64</t>
  </si>
  <si>
    <t>4.1.9.65</t>
  </si>
  <si>
    <t xml:space="preserve">              FUNDATII CUVA SUPORT GTN1</t>
  </si>
  <si>
    <t xml:space="preserve">              FUNDATII CUVA SUPORT GTN2</t>
  </si>
  <si>
    <t xml:space="preserve">              FUNDATIE SI CONSTRUIRE CADRE 11,6 M</t>
  </si>
  <si>
    <t xml:space="preserve">              FUNDATII SUPORT BARE 110</t>
  </si>
  <si>
    <t xml:space="preserve">              CONSTRUIRE CUVA TRAFO</t>
  </si>
  <si>
    <t xml:space="preserve">              FUNDATII POD DE BARE</t>
  </si>
  <si>
    <t xml:space="preserve">              FUNDATII SI SUPORTI STALPI ILUM.</t>
  </si>
  <si>
    <t xml:space="preserve">              CANALE CABLURI</t>
  </si>
  <si>
    <t xml:space="preserve">              DALE CANALE CABLURI</t>
  </si>
  <si>
    <t xml:space="preserve">              IMPREJMUIRE SI MONTARE SIRMA NATO</t>
  </si>
  <si>
    <t xml:space="preserve">              CONSOLIDARE,REPARATII CLADIRE</t>
  </si>
  <si>
    <t xml:space="preserve">              PUT FORAT</t>
  </si>
  <si>
    <t xml:space="preserve">              CIRCUITE SECUNDARE STATIE 20 kV</t>
  </si>
  <si>
    <t xml:space="preserve">              Cicuite primare 110 kV</t>
  </si>
  <si>
    <t xml:space="preserve">              RACORD 20 KV TRAFO</t>
  </si>
  <si>
    <t xml:space="preserve">              INSTALATIE DE LEGARE LA PAMANT SI PARATRSNETE</t>
  </si>
  <si>
    <t xml:space="preserve">              INSTALATII ELECTRICE INTERIOARE</t>
  </si>
  <si>
    <t>4.2.9.66</t>
  </si>
  <si>
    <t>4.2.9.67</t>
  </si>
  <si>
    <t>4.2.9.68</t>
  </si>
  <si>
    <t>4.2.9.69</t>
  </si>
  <si>
    <t>4.2.9.70</t>
  </si>
  <si>
    <t>4.2.9.71</t>
  </si>
  <si>
    <t>4.2.9.72</t>
  </si>
  <si>
    <t>4.2.9.73</t>
  </si>
  <si>
    <t>4.2.9.74</t>
  </si>
  <si>
    <t>4.2.9.75</t>
  </si>
  <si>
    <t>4.2.9.76</t>
  </si>
  <si>
    <t>4.2.9.77</t>
  </si>
  <si>
    <t>4.2.9.78</t>
  </si>
  <si>
    <t xml:space="preserve">              MONTARE UTILAJ CIRCUITE SECUNDARE STATIE 110 kV</t>
  </si>
  <si>
    <t xml:space="preserve">              MONTARE UTILAJ CIRCUITE PRIMARE IN CELULE 20 kV</t>
  </si>
  <si>
    <t xml:space="preserve">              MONTARE UTILAJ CIRCUITE SECUNDARE STATIE 20 kV</t>
  </si>
  <si>
    <t xml:space="preserve">              MONTARE UTILAJ CIRCUITE PRIMARE GRUP TRATARE NEUTRU 2</t>
  </si>
  <si>
    <t xml:space="preserve">              MONTARE UTILAJ CIRCUITE SECUNDARE GRUP TRATARE NEUTRU 2</t>
  </si>
  <si>
    <t xml:space="preserve">              MONTARE UTILAJ CIRCUITE PRIMARE BATERIE DE CONDENSATOARE</t>
  </si>
  <si>
    <t xml:space="preserve">              MONTARE UTILAJ  - INSTALATII DE ILUMINAT INTERIOR</t>
  </si>
  <si>
    <t xml:space="preserve">              MONTARE UTILAJ SCADA+TELECOMUNICATII</t>
  </si>
  <si>
    <t xml:space="preserve">              MONTARE UTILAJ TRAFO</t>
  </si>
  <si>
    <t>4.2.9.1</t>
  </si>
  <si>
    <t>4.2.9.2</t>
  </si>
  <si>
    <t>4.2.9.3</t>
  </si>
  <si>
    <t>4.2.9.4</t>
  </si>
  <si>
    <t>4.2.9.5</t>
  </si>
  <si>
    <t>4.2.9.6</t>
  </si>
  <si>
    <t>4.2.9.7</t>
  </si>
  <si>
    <t>4.2.9.8</t>
  </si>
  <si>
    <t>4.2.9.9</t>
  </si>
  <si>
    <t>4.2.9.10</t>
  </si>
  <si>
    <t>4.2.9.11</t>
  </si>
  <si>
    <t xml:space="preserve">              LISTA ECHIPAMENTE CIRCUITE PRIMARE 110 kV</t>
  </si>
  <si>
    <t xml:space="preserve">              LISTA ECHIPAMENTE CIRCUITE SECUNDARE STATIE 110 kV</t>
  </si>
  <si>
    <t xml:space="preserve">              Lista echipamente circuite primare 20 kV</t>
  </si>
  <si>
    <t xml:space="preserve">              Lista echipamente servicii interne</t>
  </si>
  <si>
    <t xml:space="preserve">              Lista echipamente GTN</t>
  </si>
  <si>
    <t xml:space="preserve">              Lista echipamente instalatii in corpul de conexiuni</t>
  </si>
  <si>
    <t xml:space="preserve">              Lista echipamente instalatii in statia exterioara</t>
  </si>
  <si>
    <t xml:space="preserve">              Utilaj SCADA +Telecomunicatii</t>
  </si>
  <si>
    <t xml:space="preserve">              LISTA ECHIPAMENTE INSTALATII DE ILUMINAT INTERIOR</t>
  </si>
  <si>
    <t xml:space="preserve">              Demolare descarcatoare 110 kV</t>
  </si>
  <si>
    <t xml:space="preserve">              Demolare intrerupator 110 kV</t>
  </si>
  <si>
    <t xml:space="preserve">              Demolare separator 110 kV</t>
  </si>
  <si>
    <t xml:space="preserve">              Demolare izolator suport nul trafo 110 kV</t>
  </si>
  <si>
    <t xml:space="preserve">              Demolare cutie de cleme</t>
  </si>
  <si>
    <t xml:space="preserve">              Demolare TSI+RN</t>
  </si>
  <si>
    <t xml:space="preserve">              Demolare suport metalic si stalp beton</t>
  </si>
  <si>
    <t>1.3.5.11</t>
  </si>
  <si>
    <t>1.2.5.2</t>
  </si>
  <si>
    <t>1.2.5.3</t>
  </si>
  <si>
    <t>1.2.5.4</t>
  </si>
  <si>
    <t>1.2.5.5</t>
  </si>
  <si>
    <t>1.2.5.6</t>
  </si>
  <si>
    <t>1.2.5.7</t>
  </si>
  <si>
    <t>1.2.5.8</t>
  </si>
  <si>
    <t>1.2.5.9</t>
  </si>
  <si>
    <t>1.2.5.10</t>
  </si>
  <si>
    <t>4.1.5.21</t>
  </si>
  <si>
    <t>4.1.5.22</t>
  </si>
  <si>
    <t>4.1.5.23</t>
  </si>
  <si>
    <t>4.1.5.24</t>
  </si>
  <si>
    <t>4.1.5.25</t>
  </si>
  <si>
    <t>4.1.5.26</t>
  </si>
  <si>
    <t>4.1.5.27</t>
  </si>
  <si>
    <t>4.1.5.28</t>
  </si>
  <si>
    <t>4.1.5.29</t>
  </si>
  <si>
    <t>4.1.5.30</t>
  </si>
  <si>
    <t>4.1.5.31</t>
  </si>
  <si>
    <t>4.1.5.32</t>
  </si>
  <si>
    <t>4.1.5.33</t>
  </si>
  <si>
    <t>4.1.5.34</t>
  </si>
  <si>
    <t>4.1.5.35</t>
  </si>
  <si>
    <t>4.1.5.36</t>
  </si>
  <si>
    <t>4.1.5.37</t>
  </si>
  <si>
    <t>4.1.5.38</t>
  </si>
  <si>
    <t>4.1.5.39</t>
  </si>
  <si>
    <t>4.1.5.40</t>
  </si>
  <si>
    <t>4.1.5.41</t>
  </si>
  <si>
    <t>4.1.5.42</t>
  </si>
  <si>
    <t>4.1.5.43</t>
  </si>
  <si>
    <t>4.1.5.44</t>
  </si>
  <si>
    <t>4.1.5.45</t>
  </si>
  <si>
    <t>4.1.5.46</t>
  </si>
  <si>
    <t>4.1.5.47</t>
  </si>
  <si>
    <t>4.1.5.48</t>
  </si>
  <si>
    <t>4.1.5.49</t>
  </si>
  <si>
    <t>4.1.5.50</t>
  </si>
  <si>
    <t>4.1.5.51</t>
  </si>
  <si>
    <t>4.1.5.52</t>
  </si>
  <si>
    <t>4.1.5.53</t>
  </si>
  <si>
    <t>4.1.5.54</t>
  </si>
  <si>
    <t>4.1.5.55</t>
  </si>
  <si>
    <t>4.1.5.56</t>
  </si>
  <si>
    <t>4.1.5.57</t>
  </si>
  <si>
    <t>4.1.5.58</t>
  </si>
  <si>
    <t>4.1.5.59</t>
  </si>
  <si>
    <t>4.1.5.60</t>
  </si>
  <si>
    <t>4.1.5.61</t>
  </si>
  <si>
    <t>4.1.5.62</t>
  </si>
  <si>
    <t>4.1.5.63</t>
  </si>
  <si>
    <t>4.1.5.64</t>
  </si>
  <si>
    <t>4.1.5.65</t>
  </si>
  <si>
    <t xml:space="preserve">              Demontare circuite primare celule 20 kV</t>
  </si>
  <si>
    <t xml:space="preserve">              Demontare poduri bare exterioare</t>
  </si>
  <si>
    <t xml:space="preserve">              Demontare circuite secundare celule 20 kV</t>
  </si>
  <si>
    <t xml:space="preserve">              Fundatii descarcatoare 110 kV</t>
  </si>
  <si>
    <t xml:space="preserve">              Fundatie intrerupator 110 kV</t>
  </si>
  <si>
    <t xml:space="preserve">              Fundatie separator 110 kV</t>
  </si>
  <si>
    <t xml:space="preserve">              Fundatie izolator suport nul trafo 110 kV</t>
  </si>
  <si>
    <t xml:space="preserve">              Fundatie cutie cleme</t>
  </si>
  <si>
    <t xml:space="preserve">              Fundatie ansamblu TSI + RN</t>
  </si>
  <si>
    <t xml:space="preserve">              C+I grup tratare neutru 1 SI 2</t>
  </si>
  <si>
    <t xml:space="preserve">              Consolidare,reparatii cladire statie si refacere acoperis</t>
  </si>
  <si>
    <t xml:space="preserve">              Inlocuire tamplarie (usi, ferestre, gratii)</t>
  </si>
  <si>
    <t xml:space="preserve">              Reparatii paratrasnete - confectii metalice</t>
  </si>
  <si>
    <t xml:space="preserve">              Refacere imprejmuire perimetrala</t>
  </si>
  <si>
    <t xml:space="preserve">              Reparare capitel stalpi</t>
  </si>
  <si>
    <t xml:space="preserve">              Reparatii stalpi si rigle de beton</t>
  </si>
  <si>
    <t xml:space="preserve">              Consolidare stalp cadru h 11,60</t>
  </si>
  <si>
    <t xml:space="preserve">              Hidrofobizare stalp cadru h 11,60</t>
  </si>
  <si>
    <t xml:space="preserve">              C+I SCADA</t>
  </si>
  <si>
    <t xml:space="preserve">              Construire drum</t>
  </si>
  <si>
    <t>4.2.5.66</t>
  </si>
  <si>
    <t>4.2.5.67</t>
  </si>
  <si>
    <t>4.2.5.68</t>
  </si>
  <si>
    <t>4.2.5.69</t>
  </si>
  <si>
    <t>4.2.5.70</t>
  </si>
  <si>
    <t>4.2.5.71</t>
  </si>
  <si>
    <t>4.2.5.72</t>
  </si>
  <si>
    <t>4.2.5.73</t>
  </si>
  <si>
    <t>4.2.5.74</t>
  </si>
  <si>
    <t>4.2.5.75</t>
  </si>
  <si>
    <t>4.2.5.76</t>
  </si>
  <si>
    <t xml:space="preserve">              Montare utilaj circuite primare 110 kV</t>
  </si>
  <si>
    <t xml:space="preserve">              Montare utilaj circuite secundare statie 110 kV</t>
  </si>
  <si>
    <t xml:space="preserve">              Montare utilaj circuite primare 20kV</t>
  </si>
  <si>
    <t xml:space="preserve">              Montare utilaj  secundare 20 kV</t>
  </si>
  <si>
    <t xml:space="preserve">              Montare utilaj SCADA</t>
  </si>
  <si>
    <t xml:space="preserve">              Montare utilaj circuite secundare servicii interne</t>
  </si>
  <si>
    <t xml:space="preserve">              Montare utilaj TRAFO</t>
  </si>
  <si>
    <t xml:space="preserve">              Montare utilaj grup tratare neutru 1 si 2</t>
  </si>
  <si>
    <t xml:space="preserve">              Montare utilaj PSC</t>
  </si>
  <si>
    <t xml:space="preserve">              Montare utilaj BK</t>
  </si>
  <si>
    <t>4.3.5.1</t>
  </si>
  <si>
    <t>4.3.5.2</t>
  </si>
  <si>
    <t>4.3.5.3</t>
  </si>
  <si>
    <t>4.3.5.4</t>
  </si>
  <si>
    <t>4.3.5.5</t>
  </si>
  <si>
    <t>4.3.5.6</t>
  </si>
  <si>
    <t>4.3.5.7</t>
  </si>
  <si>
    <t>4.3.5.8</t>
  </si>
  <si>
    <t>4.3.5.9</t>
  </si>
  <si>
    <t>4.3.5.10</t>
  </si>
  <si>
    <t>4.3.5.11</t>
  </si>
  <si>
    <t xml:space="preserve">              Lista echipamente circuite secundare statie 110 kV</t>
  </si>
  <si>
    <t xml:space="preserve">              Lista echipamente circuite secundare 20 kV</t>
  </si>
  <si>
    <t xml:space="preserve">              Lista echipamente grup tratare neutru</t>
  </si>
  <si>
    <t>4.3.5.12</t>
  </si>
  <si>
    <t xml:space="preserve">              Demolare BPN+RN</t>
  </si>
  <si>
    <t xml:space="preserve">              Demolare MT+JT (TSI 1, 2 )</t>
  </si>
  <si>
    <t xml:space="preserve">              Demontari (C+I) circ. secundare+SCADA</t>
  </si>
  <si>
    <t xml:space="preserve">              Demontare echipamente grup tratare neutru</t>
  </si>
  <si>
    <t xml:space="preserve">              (C +I) circ. secundare 110 kV</t>
  </si>
  <si>
    <t xml:space="preserve">              C+I celule 20 kV</t>
  </si>
  <si>
    <t xml:space="preserve">              C+I  pod de bare 20 kV</t>
  </si>
  <si>
    <t xml:space="preserve">              Reparatii in camera de comanda</t>
  </si>
  <si>
    <t>4.2.7.72</t>
  </si>
  <si>
    <t>4.2.7.68</t>
  </si>
  <si>
    <t>4.2.7.69</t>
  </si>
  <si>
    <t>4.2.7.70</t>
  </si>
  <si>
    <t>4.2.7.71</t>
  </si>
  <si>
    <t>4.2.7.73</t>
  </si>
  <si>
    <t>4.2.7.74</t>
  </si>
  <si>
    <t>4.2.7.75</t>
  </si>
  <si>
    <t>4.2.7.76</t>
  </si>
  <si>
    <t>4.2.7.77</t>
  </si>
  <si>
    <t xml:space="preserve">              Montare utilaje circuite primare 110 kV</t>
  </si>
  <si>
    <t xml:space="preserve">              Montare utilaje circuite secundare 110 kV</t>
  </si>
  <si>
    <t>4.3.7.1</t>
  </si>
  <si>
    <t>4.3.7.2</t>
  </si>
  <si>
    <t>4.3.7.3</t>
  </si>
  <si>
    <t>4.3.7.4</t>
  </si>
  <si>
    <t>4.3.7.5</t>
  </si>
  <si>
    <t>4.3.7.6</t>
  </si>
  <si>
    <t>4.3.7.7</t>
  </si>
  <si>
    <t>4.3.7.8</t>
  </si>
  <si>
    <t>4.3.7.9</t>
  </si>
  <si>
    <t>4.3.7.10</t>
  </si>
  <si>
    <t>4.3.7.11</t>
  </si>
  <si>
    <t>4.3.7.12</t>
  </si>
  <si>
    <t>1.2.1.10</t>
  </si>
  <si>
    <t>1.2.1.11</t>
  </si>
  <si>
    <t>1.2.1.12</t>
  </si>
  <si>
    <t>1.2.1.13</t>
  </si>
  <si>
    <t>1.2.1.14</t>
  </si>
  <si>
    <t>1.2.1.15</t>
  </si>
  <si>
    <t>1.2.1.16</t>
  </si>
  <si>
    <t>1.2.1.17</t>
  </si>
  <si>
    <t>1.2.1.18</t>
  </si>
  <si>
    <t>1.2.1.19</t>
  </si>
  <si>
    <t>1.2.1.20</t>
  </si>
  <si>
    <t>1.2.1.21</t>
  </si>
  <si>
    <t>1.2.1.22</t>
  </si>
  <si>
    <t>1.3.1.9</t>
  </si>
  <si>
    <t>Circuite secundare</t>
  </si>
  <si>
    <t>1.2.2.4</t>
  </si>
  <si>
    <t>1.2.2.5</t>
  </si>
  <si>
    <t>1.2.2.6</t>
  </si>
  <si>
    <t>1.2.2.7</t>
  </si>
  <si>
    <t>1.2.2.8</t>
  </si>
  <si>
    <t>1.2.2.9</t>
  </si>
  <si>
    <t>1.2.2.10</t>
  </si>
  <si>
    <t>1.2.2.11</t>
  </si>
  <si>
    <t>1.2.3.8</t>
  </si>
  <si>
    <t>1.2.3.9</t>
  </si>
  <si>
    <t>1.2.3.10</t>
  </si>
  <si>
    <t>1.2.3.11</t>
  </si>
  <si>
    <t>1.2.3.12</t>
  </si>
  <si>
    <t>1.2.3.13</t>
  </si>
  <si>
    <t>1.2.3.14</t>
  </si>
  <si>
    <t>1.2.3.15</t>
  </si>
  <si>
    <t>1.2.3.16</t>
  </si>
  <si>
    <t>1.2.3.17</t>
  </si>
  <si>
    <t>1.2.3.18</t>
  </si>
  <si>
    <t>1.2.3.19</t>
  </si>
  <si>
    <t>1.2.3.20</t>
  </si>
  <si>
    <t>1.2.4.13</t>
  </si>
  <si>
    <t>1.2.4.14</t>
  </si>
  <si>
    <t>1.2.4.15</t>
  </si>
  <si>
    <t>1.2.4.16</t>
  </si>
  <si>
    <t>1.2.4.17</t>
  </si>
  <si>
    <t>1.2.4.18</t>
  </si>
  <si>
    <t>1.2.4.19</t>
  </si>
  <si>
    <t>1.2.4.20</t>
  </si>
  <si>
    <t>1.2.4.21</t>
  </si>
  <si>
    <t>1.2.4.22</t>
  </si>
  <si>
    <t>1.2.4.23</t>
  </si>
  <si>
    <t>1.2.4.24</t>
  </si>
  <si>
    <t>1.2.5.12</t>
  </si>
  <si>
    <t>1.2.5.13</t>
  </si>
  <si>
    <t>1.2.5.14</t>
  </si>
  <si>
    <t>1.2.5.15</t>
  </si>
  <si>
    <t>1.2.5.16</t>
  </si>
  <si>
    <t>1.2.5.17</t>
  </si>
  <si>
    <t>1.2.5.18</t>
  </si>
  <si>
    <t>1.2.5.19</t>
  </si>
  <si>
    <t>1.2.5.20</t>
  </si>
  <si>
    <t>1.2.6.15</t>
  </si>
  <si>
    <t>1.2.6.16</t>
  </si>
  <si>
    <t>1.2.6.17</t>
  </si>
  <si>
    <t>1.2.6.18</t>
  </si>
  <si>
    <t>1.2.6.19</t>
  </si>
  <si>
    <t>1.2.6.20</t>
  </si>
  <si>
    <t>1.2.6.21</t>
  </si>
  <si>
    <t>1.2.6.22</t>
  </si>
  <si>
    <t>1.2.6.23</t>
  </si>
  <si>
    <t>1.2.7.12</t>
  </si>
  <si>
    <t>1.2.7.13</t>
  </si>
  <si>
    <t>1.2.7.14</t>
  </si>
  <si>
    <t>1.2.7.15</t>
  </si>
  <si>
    <t>1.2.7.16</t>
  </si>
  <si>
    <t>1.2.7.17</t>
  </si>
  <si>
    <t>1.2.7.18</t>
  </si>
  <si>
    <t>1.2.7.19</t>
  </si>
  <si>
    <t>1.2.7.20</t>
  </si>
  <si>
    <t>1.2.8.15</t>
  </si>
  <si>
    <t>1.2.8.16</t>
  </si>
  <si>
    <t>1.2.8.17</t>
  </si>
  <si>
    <t>1.2.8.18</t>
  </si>
  <si>
    <t>1.2.8.19</t>
  </si>
  <si>
    <t>1.2.8.20</t>
  </si>
  <si>
    <t>1.2.8.21</t>
  </si>
  <si>
    <t>1.2.9.13</t>
  </si>
  <si>
    <t>1.2.9.14</t>
  </si>
  <si>
    <t>1.2.9.15</t>
  </si>
  <si>
    <t>1.2.9.16</t>
  </si>
  <si>
    <t>1.2.9.17</t>
  </si>
  <si>
    <t>1.2.9.18</t>
  </si>
  <si>
    <t>1.2.10.9</t>
  </si>
  <si>
    <t>1.2.10.10</t>
  </si>
  <si>
    <t>1.2.10.11</t>
  </si>
  <si>
    <t>1.2.10.12</t>
  </si>
  <si>
    <t>1.2.11.17</t>
  </si>
  <si>
    <t>1.2.11.18</t>
  </si>
  <si>
    <t>1.2.11.19</t>
  </si>
  <si>
    <t>1.2.11.20</t>
  </si>
  <si>
    <t>1.2.11.21</t>
  </si>
  <si>
    <t>1.2.11.22</t>
  </si>
  <si>
    <t>1.2.11.23</t>
  </si>
  <si>
    <t>1.2.11.24</t>
  </si>
  <si>
    <t>1.2.11.25</t>
  </si>
  <si>
    <t>1.2.11.26</t>
  </si>
  <si>
    <t>1.2.11.27</t>
  </si>
  <si>
    <t>1.2.11.28</t>
  </si>
  <si>
    <t>1.2.11.29</t>
  </si>
  <si>
    <t>1.2.11.30</t>
  </si>
  <si>
    <t>1.2.11.31</t>
  </si>
  <si>
    <t>1.2.11.32</t>
  </si>
  <si>
    <t>1.2.11.33</t>
  </si>
  <si>
    <t>1.2.12.16</t>
  </si>
  <si>
    <t>1.2.12.17</t>
  </si>
  <si>
    <t>1.2.12.18</t>
  </si>
  <si>
    <t>1.2.12.19</t>
  </si>
  <si>
    <t>1.2.12.20</t>
  </si>
  <si>
    <t>1.2.12.21</t>
  </si>
  <si>
    <t>1.2.12.22</t>
  </si>
  <si>
    <t>1.2.12.23</t>
  </si>
  <si>
    <t>1.2.12.24</t>
  </si>
  <si>
    <t>1.2.12.25</t>
  </si>
  <si>
    <t>1.2.12.26</t>
  </si>
  <si>
    <t>1.2.12.27</t>
  </si>
  <si>
    <t>1.2.12.28</t>
  </si>
  <si>
    <t>PAL</t>
  </si>
  <si>
    <t>Roman V</t>
  </si>
  <si>
    <t>Cota aferenta ISC pentru controlul calitatii lucrarilor de constructii  0,5 %</t>
  </si>
  <si>
    <t>Cota aferenta ISC pentru controlul statului si amenajarea teritoriului, urbanism si pentru autorizarea lucrarilor de constructii  0,1 %</t>
  </si>
  <si>
    <t>OPEX</t>
  </si>
  <si>
    <t>CAPEX (incl Manopera</t>
  </si>
  <si>
    <t>Manopera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</si>
</sst>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0"/>
    <numFmt numFmtId="165" formatCode="0.0"/>
    <numFmt numFmtId="166" formatCode="#,##0.00_ ;\-#,##0.00\ "/>
    <numFmt numFmtId="167" formatCode="#,##0_);\(#,##0\);&quot;-  &quot;;&quot; &quot;@"/>
    <numFmt numFmtId="168" formatCode="dd\.mm\.yy_);;&quot;-  &quot;;&quot; &quot;@"/>
    <numFmt numFmtId="169" formatCode="_-* #,##0.00\ _K_č_-;\-* #,##0.00\ _K_č_-;_-* &quot;-&quot;??\ _K_č_-;_-@_-"/>
  </numFmts>
  <fonts count="35" x14ac:knownFonts="1">
    <font>
      <sz val="12"/>
      <color theme="1"/>
      <name val="Times New Roman"/>
      <family val="2"/>
    </font>
    <font>
      <b/>
      <i/>
      <sz val="9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color indexed="10"/>
      <name val="Times New Roman"/>
      <family val="1"/>
    </font>
    <font>
      <sz val="10"/>
      <name val="Arial"/>
      <family val="2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sz val="9"/>
      <color rgb="FF0000FF"/>
      <name val="Verdana"/>
      <family val="2"/>
    </font>
    <font>
      <b/>
      <sz val="9"/>
      <color rgb="FFFF0000"/>
      <name val="Times New Roman"/>
      <family val="1"/>
    </font>
    <font>
      <sz val="12"/>
      <color theme="1"/>
      <name val="Times New Roman"/>
      <family val="2"/>
    </font>
    <font>
      <u/>
      <sz val="9"/>
      <name val="Times New Roman"/>
      <family val="1"/>
    </font>
    <font>
      <sz val="11"/>
      <name val="Calibri"/>
      <family val="2"/>
      <scheme val="minor"/>
    </font>
    <font>
      <sz val="8"/>
      <name val="Times New Roman"/>
      <family val="2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9"/>
      <color rgb="FFB8860B"/>
      <name val="Verdana"/>
      <family val="2"/>
    </font>
    <font>
      <sz val="9"/>
      <name val="Verdana"/>
      <family val="2"/>
    </font>
    <font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F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7" fillId="0" borderId="0"/>
    <xf numFmtId="0" fontId="10" fillId="4" borderId="6">
      <alignment horizontal="left" vertical="center" wrapText="1"/>
    </xf>
    <xf numFmtId="9" fontId="12" fillId="0" borderId="0" applyFont="0" applyFill="0" applyBorder="0" applyAlignment="0" applyProtection="0"/>
    <xf numFmtId="0" fontId="26" fillId="0" borderId="0"/>
    <xf numFmtId="0" fontId="25" fillId="0" borderId="0"/>
    <xf numFmtId="0" fontId="27" fillId="0" borderId="0">
      <alignment vertical="top"/>
    </xf>
    <xf numFmtId="0" fontId="25" fillId="0" borderId="0"/>
    <xf numFmtId="0" fontId="25" fillId="0" borderId="0"/>
    <xf numFmtId="0" fontId="25" fillId="0" borderId="0"/>
    <xf numFmtId="167" fontId="28" fillId="0" borderId="0" applyFont="0" applyFill="0" applyBorder="0" applyProtection="0">
      <alignment vertical="top"/>
    </xf>
    <xf numFmtId="168" fontId="29" fillId="0" borderId="0" applyFont="0" applyFill="0" applyBorder="0" applyProtection="0">
      <alignment vertical="top"/>
    </xf>
    <xf numFmtId="0" fontId="25" fillId="0" borderId="0"/>
    <xf numFmtId="167" fontId="29" fillId="0" borderId="0" applyFont="0" applyFill="0" applyBorder="0" applyProtection="0">
      <alignment vertical="top"/>
    </xf>
    <xf numFmtId="167" fontId="28" fillId="0" borderId="0" applyFont="0" applyFill="0" applyBorder="0" applyProtection="0">
      <alignment vertical="top"/>
    </xf>
    <xf numFmtId="16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" fillId="0" borderId="0">
      <alignment vertical="top"/>
    </xf>
    <xf numFmtId="0" fontId="32" fillId="4" borderId="6">
      <alignment horizontal="left" vertical="center" wrapText="1"/>
    </xf>
  </cellStyleXfs>
  <cellXfs count="2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" fontId="2" fillId="0" borderId="6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horizontal="right"/>
    </xf>
    <xf numFmtId="15" fontId="5" fillId="0" borderId="0" xfId="0" applyNumberFormat="1" applyFont="1"/>
    <xf numFmtId="15" fontId="2" fillId="0" borderId="0" xfId="0" applyNumberFormat="1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1" fillId="0" borderId="6" xfId="0" applyFont="1" applyBorder="1"/>
    <xf numFmtId="4" fontId="5" fillId="0" borderId="6" xfId="0" applyNumberFormat="1" applyFont="1" applyBorder="1"/>
    <xf numFmtId="0" fontId="4" fillId="0" borderId="6" xfId="0" applyFont="1" applyBorder="1"/>
    <xf numFmtId="4" fontId="5" fillId="0" borderId="6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/>
    </xf>
    <xf numFmtId="0" fontId="2" fillId="2" borderId="0" xfId="0" applyFont="1" applyFill="1"/>
    <xf numFmtId="4" fontId="5" fillId="2" borderId="6" xfId="0" applyNumberFormat="1" applyFont="1" applyFill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0" fontId="4" fillId="3" borderId="6" xfId="0" applyFont="1" applyFill="1" applyBorder="1"/>
    <xf numFmtId="4" fontId="4" fillId="3" borderId="6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0" fontId="8" fillId="0" borderId="0" xfId="0" applyFont="1"/>
    <xf numFmtId="4" fontId="2" fillId="0" borderId="6" xfId="0" applyNumberFormat="1" applyFont="1" applyBorder="1" applyAlignment="1">
      <alignment horizontal="right" vertical="center"/>
    </xf>
    <xf numFmtId="0" fontId="4" fillId="3" borderId="6" xfId="0" applyFont="1" applyFill="1" applyBorder="1" applyAlignment="1">
      <alignment wrapText="1"/>
    </xf>
    <xf numFmtId="49" fontId="2" fillId="0" borderId="6" xfId="0" applyNumberFormat="1" applyFont="1" applyBorder="1" applyAlignment="1">
      <alignment vertical="center" wrapText="1"/>
    </xf>
    <xf numFmtId="4" fontId="2" fillId="3" borderId="6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horizontal="right" vertical="center"/>
    </xf>
    <xf numFmtId="0" fontId="2" fillId="0" borderId="6" xfId="0" quotePrefix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" fontId="5" fillId="0" borderId="6" xfId="0" applyNumberFormat="1" applyFont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6" xfId="0" quotePrefix="1" applyFont="1" applyBorder="1" applyAlignment="1">
      <alignment horizontal="center"/>
    </xf>
    <xf numFmtId="0" fontId="5" fillId="3" borderId="6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6" xfId="1" quotePrefix="1" applyNumberFormat="1" applyFont="1" applyBorder="1" applyAlignment="1">
      <alignment horizontal="center" vertical="center"/>
    </xf>
    <xf numFmtId="165" fontId="5" fillId="3" borderId="6" xfId="1" quotePrefix="1" applyNumberFormat="1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4" fontId="2" fillId="0" borderId="0" xfId="0" applyNumberFormat="1" applyFont="1"/>
    <xf numFmtId="0" fontId="2" fillId="3" borderId="6" xfId="0" applyFont="1" applyFill="1" applyBorder="1"/>
    <xf numFmtId="0" fontId="4" fillId="0" borderId="6" xfId="0" applyFont="1" applyBorder="1" applyAlignment="1">
      <alignment vertical="center" wrapText="1"/>
    </xf>
    <xf numFmtId="0" fontId="2" fillId="2" borderId="6" xfId="0" applyFont="1" applyFill="1" applyBorder="1"/>
    <xf numFmtId="4" fontId="5" fillId="0" borderId="0" xfId="0" applyNumberFormat="1" applyFont="1" applyAlignment="1">
      <alignment vertical="center"/>
    </xf>
    <xf numFmtId="4" fontId="5" fillId="0" borderId="0" xfId="0" applyNumberFormat="1" applyFont="1"/>
    <xf numFmtId="165" fontId="11" fillId="0" borderId="6" xfId="1" quotePrefix="1" applyNumberFormat="1" applyFont="1" applyBorder="1" applyAlignment="1">
      <alignment horizontal="center" vertical="center"/>
    </xf>
    <xf numFmtId="0" fontId="11" fillId="0" borderId="0" xfId="0" applyFont="1"/>
    <xf numFmtId="4" fontId="2" fillId="5" borderId="6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9" fontId="14" fillId="6" borderId="0" xfId="3" applyFont="1" applyFill="1" applyAlignment="1" applyProtection="1">
      <alignment horizontal="left" vertical="center"/>
      <protection locked="0"/>
    </xf>
    <xf numFmtId="17" fontId="2" fillId="0" borderId="0" xfId="0" applyNumberFormat="1" applyFont="1" applyAlignment="1">
      <alignment horizontal="center"/>
    </xf>
    <xf numFmtId="4" fontId="16" fillId="0" borderId="6" xfId="0" applyNumberFormat="1" applyFont="1" applyBorder="1" applyAlignment="1">
      <alignment horizontal="right"/>
    </xf>
    <xf numFmtId="0" fontId="16" fillId="0" borderId="0" xfId="0" applyFont="1"/>
    <xf numFmtId="4" fontId="16" fillId="3" borderId="6" xfId="0" applyNumberFormat="1" applyFont="1" applyFill="1" applyBorder="1" applyAlignment="1">
      <alignment horizontal="right" vertical="center"/>
    </xf>
    <xf numFmtId="49" fontId="16" fillId="0" borderId="6" xfId="0" applyNumberFormat="1" applyFont="1" applyBorder="1" applyAlignment="1">
      <alignment horizontal="right"/>
    </xf>
    <xf numFmtId="0" fontId="16" fillId="0" borderId="6" xfId="0" quotePrefix="1" applyFont="1" applyBorder="1" applyAlignment="1">
      <alignment horizontal="left" vertical="center"/>
    </xf>
    <xf numFmtId="4" fontId="16" fillId="3" borderId="6" xfId="0" applyNumberFormat="1" applyFont="1" applyFill="1" applyBorder="1" applyAlignment="1">
      <alignment horizontal="right"/>
    </xf>
    <xf numFmtId="0" fontId="19" fillId="0" borderId="6" xfId="0" applyFont="1" applyBorder="1" applyAlignment="1">
      <alignment horizontal="left" vertical="top" wrapText="1"/>
    </xf>
    <xf numFmtId="4" fontId="19" fillId="0" borderId="6" xfId="0" applyNumberFormat="1" applyFont="1" applyBorder="1" applyAlignment="1">
      <alignment horizontal="right" vertical="top"/>
    </xf>
    <xf numFmtId="0" fontId="19" fillId="0" borderId="6" xfId="0" applyFont="1" applyBorder="1" applyAlignment="1">
      <alignment horizontal="center" vertical="top"/>
    </xf>
    <xf numFmtId="0" fontId="20" fillId="0" borderId="6" xfId="0" applyFont="1" applyBorder="1" applyAlignment="1">
      <alignment vertical="top" wrapText="1" readingOrder="1"/>
    </xf>
    <xf numFmtId="0" fontId="21" fillId="0" borderId="0" xfId="0" applyFont="1"/>
    <xf numFmtId="0" fontId="19" fillId="0" borderId="6" xfId="0" applyFont="1" applyBorder="1" applyAlignment="1">
      <alignment horizontal="left" vertical="top" wrapText="1" readingOrder="1"/>
    </xf>
    <xf numFmtId="0" fontId="20" fillId="0" borderId="6" xfId="0" applyFont="1" applyBorder="1" applyAlignment="1">
      <alignment horizontal="center" vertical="top"/>
    </xf>
    <xf numFmtId="0" fontId="20" fillId="0" borderId="6" xfId="0" applyFont="1" applyBorder="1" applyAlignment="1">
      <alignment horizontal="left" vertical="top" wrapText="1"/>
    </xf>
    <xf numFmtId="4" fontId="20" fillId="0" borderId="6" xfId="0" applyNumberFormat="1" applyFont="1" applyBorder="1" applyAlignment="1">
      <alignment horizontal="right" vertical="top"/>
    </xf>
    <xf numFmtId="0" fontId="18" fillId="0" borderId="0" xfId="0" applyFont="1" applyAlignment="1">
      <alignment horizontal="center"/>
    </xf>
    <xf numFmtId="0" fontId="22" fillId="0" borderId="6" xfId="0" applyFont="1" applyBorder="1" applyAlignment="1">
      <alignment vertical="top"/>
    </xf>
    <xf numFmtId="0" fontId="19" fillId="0" borderId="6" xfId="0" applyFont="1" applyBorder="1" applyAlignment="1">
      <alignment vertical="top" wrapText="1" readingOrder="1"/>
    </xf>
    <xf numFmtId="0" fontId="16" fillId="0" borderId="6" xfId="0" applyFont="1" applyBorder="1" applyAlignment="1">
      <alignment horizontal="center"/>
    </xf>
    <xf numFmtId="49" fontId="22" fillId="0" borderId="6" xfId="0" applyNumberFormat="1" applyFont="1" applyBorder="1" applyAlignment="1">
      <alignment vertical="top"/>
    </xf>
    <xf numFmtId="49" fontId="20" fillId="0" borderId="6" xfId="0" applyNumberFormat="1" applyFont="1" applyBorder="1" applyAlignment="1">
      <alignment vertical="top" wrapText="1" readingOrder="1"/>
    </xf>
    <xf numFmtId="49" fontId="20" fillId="0" borderId="6" xfId="0" applyNumberFormat="1" applyFont="1" applyBorder="1" applyAlignment="1">
      <alignment horizontal="center" vertical="top"/>
    </xf>
    <xf numFmtId="49" fontId="22" fillId="0" borderId="6" xfId="0" applyNumberFormat="1" applyFont="1" applyBorder="1" applyAlignment="1">
      <alignment horizontal="center" vertical="top"/>
    </xf>
    <xf numFmtId="0" fontId="22" fillId="0" borderId="6" xfId="0" applyFont="1" applyBorder="1" applyAlignment="1">
      <alignment horizontal="right" vertical="top"/>
    </xf>
    <xf numFmtId="0" fontId="16" fillId="0" borderId="0" xfId="0" applyFont="1" applyAlignment="1">
      <alignment horizontal="right"/>
    </xf>
    <xf numFmtId="16" fontId="18" fillId="3" borderId="6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/>
    </xf>
    <xf numFmtId="0" fontId="18" fillId="3" borderId="6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top"/>
    </xf>
    <xf numFmtId="0" fontId="19" fillId="3" borderId="6" xfId="0" applyFont="1" applyFill="1" applyBorder="1" applyAlignment="1">
      <alignment vertical="top" wrapText="1" readingOrder="1"/>
    </xf>
    <xf numFmtId="4" fontId="19" fillId="3" borderId="6" xfId="0" applyNumberFormat="1" applyFont="1" applyFill="1" applyBorder="1" applyAlignment="1">
      <alignment horizontal="right" vertical="top"/>
    </xf>
    <xf numFmtId="4" fontId="18" fillId="3" borderId="6" xfId="0" applyNumberFormat="1" applyFont="1" applyFill="1" applyBorder="1" applyAlignment="1">
      <alignment horizontal="right"/>
    </xf>
    <xf numFmtId="0" fontId="18" fillId="3" borderId="6" xfId="0" applyFont="1" applyFill="1" applyBorder="1"/>
    <xf numFmtId="0" fontId="19" fillId="3" borderId="6" xfId="0" applyFont="1" applyFill="1" applyBorder="1" applyAlignment="1">
      <alignment horizontal="left" vertical="top" wrapText="1"/>
    </xf>
    <xf numFmtId="0" fontId="16" fillId="7" borderId="6" xfId="0" applyFont="1" applyFill="1" applyBorder="1" applyAlignment="1">
      <alignment horizontal="center"/>
    </xf>
    <xf numFmtId="0" fontId="18" fillId="7" borderId="3" xfId="0" quotePrefix="1" applyFont="1" applyFill="1" applyBorder="1" applyAlignment="1">
      <alignment horizontal="left"/>
    </xf>
    <xf numFmtId="4" fontId="16" fillId="7" borderId="6" xfId="0" applyNumberFormat="1" applyFont="1" applyFill="1" applyBorder="1" applyAlignment="1">
      <alignment horizontal="right"/>
    </xf>
    <xf numFmtId="0" fontId="19" fillId="7" borderId="6" xfId="0" applyFont="1" applyFill="1" applyBorder="1" applyAlignment="1">
      <alignment horizontal="center" vertical="top"/>
    </xf>
    <xf numFmtId="0" fontId="19" fillId="7" borderId="6" xfId="0" applyFont="1" applyFill="1" applyBorder="1" applyAlignment="1">
      <alignment horizontal="left" vertical="top" wrapText="1"/>
    </xf>
    <xf numFmtId="4" fontId="19" fillId="7" borderId="6" xfId="0" applyNumberFormat="1" applyFont="1" applyFill="1" applyBorder="1" applyAlignment="1">
      <alignment horizontal="right" vertical="top"/>
    </xf>
    <xf numFmtId="4" fontId="18" fillId="7" borderId="6" xfId="0" applyNumberFormat="1" applyFont="1" applyFill="1" applyBorder="1" applyAlignment="1">
      <alignment horizontal="right" vertical="center"/>
    </xf>
    <xf numFmtId="0" fontId="2" fillId="0" borderId="6" xfId="0" quotePrefix="1" applyFont="1" applyBorder="1" applyAlignment="1">
      <alignment horizontal="center"/>
    </xf>
    <xf numFmtId="49" fontId="20" fillId="0" borderId="6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center"/>
    </xf>
    <xf numFmtId="0" fontId="16" fillId="0" borderId="6" xfId="0" applyFont="1" applyBorder="1" applyAlignment="1">
      <alignment horizontal="right"/>
    </xf>
    <xf numFmtId="49" fontId="16" fillId="0" borderId="0" xfId="0" applyNumberFormat="1" applyFont="1"/>
    <xf numFmtId="49" fontId="2" fillId="0" borderId="6" xfId="0" applyNumberFormat="1" applyFont="1" applyBorder="1" applyAlignment="1">
      <alignment horizontal="center"/>
    </xf>
    <xf numFmtId="49" fontId="2" fillId="0" borderId="6" xfId="0" quotePrefix="1" applyNumberFormat="1" applyFont="1" applyBorder="1" applyAlignment="1">
      <alignment horizontal="center"/>
    </xf>
    <xf numFmtId="14" fontId="2" fillId="0" borderId="6" xfId="0" quotePrefix="1" applyNumberFormat="1" applyFont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165" fontId="11" fillId="3" borderId="6" xfId="1" quotePrefix="1" applyNumberFormat="1" applyFont="1" applyFill="1" applyBorder="1" applyAlignment="1">
      <alignment horizontal="center" vertical="center"/>
    </xf>
    <xf numFmtId="0" fontId="1" fillId="0" borderId="0" xfId="0" applyFont="1"/>
    <xf numFmtId="39" fontId="23" fillId="0" borderId="8" xfId="0" applyNumberFormat="1" applyFont="1" applyBorder="1" applyAlignment="1">
      <alignment horizontal="right" vertical="top" wrapText="1"/>
    </xf>
    <xf numFmtId="0" fontId="16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6" xfId="0" quotePrefix="1" applyFont="1" applyBorder="1" applyAlignment="1">
      <alignment horizontal="center"/>
    </xf>
    <xf numFmtId="49" fontId="16" fillId="0" borderId="6" xfId="0" applyNumberFormat="1" applyFont="1" applyBorder="1"/>
    <xf numFmtId="0" fontId="2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7" xfId="0" quotePrefix="1" applyFont="1" applyBorder="1" applyAlignment="1">
      <alignment horizontal="left" vertical="center"/>
    </xf>
    <xf numFmtId="4" fontId="8" fillId="0" borderId="0" xfId="0" applyNumberFormat="1" applyFont="1"/>
    <xf numFmtId="0" fontId="2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166" fontId="16" fillId="0" borderId="0" xfId="0" applyNumberFormat="1" applyFont="1"/>
    <xf numFmtId="2" fontId="2" fillId="3" borderId="6" xfId="1" quotePrefix="1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2" fontId="0" fillId="0" borderId="0" xfId="0" applyNumberFormat="1"/>
    <xf numFmtId="0" fontId="16" fillId="8" borderId="0" xfId="0" applyFont="1" applyFill="1"/>
    <xf numFmtId="0" fontId="16" fillId="11" borderId="0" xfId="0" applyFont="1" applyFill="1"/>
    <xf numFmtId="0" fontId="16" fillId="10" borderId="0" xfId="0" applyFont="1" applyFill="1"/>
    <xf numFmtId="0" fontId="16" fillId="12" borderId="0" xfId="0" applyFont="1" applyFill="1"/>
    <xf numFmtId="0" fontId="16" fillId="9" borderId="0" xfId="0" applyFont="1" applyFill="1"/>
    <xf numFmtId="0" fontId="20" fillId="9" borderId="6" xfId="0" applyFont="1" applyFill="1" applyBorder="1" applyAlignment="1">
      <alignment horizontal="center" vertical="top"/>
    </xf>
    <xf numFmtId="0" fontId="20" fillId="9" borderId="6" xfId="0" applyFont="1" applyFill="1" applyBorder="1" applyAlignment="1">
      <alignment horizontal="left" vertical="top" wrapText="1"/>
    </xf>
    <xf numFmtId="39" fontId="23" fillId="9" borderId="8" xfId="0" applyNumberFormat="1" applyFont="1" applyFill="1" applyBorder="1" applyAlignment="1">
      <alignment horizontal="right" vertical="top" wrapText="1"/>
    </xf>
    <xf numFmtId="4" fontId="16" fillId="9" borderId="6" xfId="0" applyNumberFormat="1" applyFont="1" applyFill="1" applyBorder="1" applyAlignment="1">
      <alignment horizontal="right"/>
    </xf>
    <xf numFmtId="0" fontId="20" fillId="8" borderId="6" xfId="0" applyFont="1" applyFill="1" applyBorder="1" applyAlignment="1">
      <alignment horizontal="center" vertical="top"/>
    </xf>
    <xf numFmtId="0" fontId="20" fillId="8" borderId="6" xfId="0" applyFont="1" applyFill="1" applyBorder="1" applyAlignment="1">
      <alignment horizontal="left" vertical="top" wrapText="1"/>
    </xf>
    <xf numFmtId="39" fontId="23" fillId="8" borderId="8" xfId="0" applyNumberFormat="1" applyFont="1" applyFill="1" applyBorder="1" applyAlignment="1">
      <alignment horizontal="right" vertical="top" wrapText="1"/>
    </xf>
    <xf numFmtId="4" fontId="16" fillId="8" borderId="6" xfId="0" applyNumberFormat="1" applyFont="1" applyFill="1" applyBorder="1" applyAlignment="1">
      <alignment horizontal="right"/>
    </xf>
    <xf numFmtId="0" fontId="20" fillId="11" borderId="6" xfId="0" applyFont="1" applyFill="1" applyBorder="1" applyAlignment="1">
      <alignment horizontal="center" vertical="top"/>
    </xf>
    <xf numFmtId="0" fontId="20" fillId="11" borderId="6" xfId="0" applyFont="1" applyFill="1" applyBorder="1" applyAlignment="1">
      <alignment horizontal="left" vertical="top" wrapText="1"/>
    </xf>
    <xf numFmtId="39" fontId="23" fillId="11" borderId="8" xfId="0" applyNumberFormat="1" applyFont="1" applyFill="1" applyBorder="1" applyAlignment="1">
      <alignment horizontal="right" vertical="top" wrapText="1"/>
    </xf>
    <xf numFmtId="4" fontId="16" fillId="11" borderId="6" xfId="0" applyNumberFormat="1" applyFont="1" applyFill="1" applyBorder="1" applyAlignment="1">
      <alignment horizontal="right"/>
    </xf>
    <xf numFmtId="0" fontId="20" fillId="10" borderId="6" xfId="0" applyFont="1" applyFill="1" applyBorder="1" applyAlignment="1">
      <alignment horizontal="center" vertical="top"/>
    </xf>
    <xf numFmtId="0" fontId="20" fillId="10" borderId="6" xfId="0" applyFont="1" applyFill="1" applyBorder="1" applyAlignment="1">
      <alignment horizontal="left" vertical="top" wrapText="1"/>
    </xf>
    <xf numFmtId="39" fontId="23" fillId="10" borderId="8" xfId="0" applyNumberFormat="1" applyFont="1" applyFill="1" applyBorder="1" applyAlignment="1">
      <alignment horizontal="right" vertical="top" wrapText="1"/>
    </xf>
    <xf numFmtId="4" fontId="16" fillId="10" borderId="6" xfId="0" applyNumberFormat="1" applyFont="1" applyFill="1" applyBorder="1" applyAlignment="1">
      <alignment horizontal="right"/>
    </xf>
    <xf numFmtId="0" fontId="22" fillId="8" borderId="6" xfId="0" applyFont="1" applyFill="1" applyBorder="1" applyAlignment="1">
      <alignment horizontal="center" vertical="top"/>
    </xf>
    <xf numFmtId="2" fontId="16" fillId="8" borderId="6" xfId="0" applyNumberFormat="1" applyFont="1" applyFill="1" applyBorder="1" applyAlignment="1">
      <alignment horizontal="right"/>
    </xf>
    <xf numFmtId="0" fontId="22" fillId="10" borderId="6" xfId="0" applyFont="1" applyFill="1" applyBorder="1" applyAlignment="1">
      <alignment horizontal="center" vertical="top"/>
    </xf>
    <xf numFmtId="2" fontId="16" fillId="10" borderId="6" xfId="0" applyNumberFormat="1" applyFont="1" applyFill="1" applyBorder="1" applyAlignment="1">
      <alignment horizontal="right"/>
    </xf>
    <xf numFmtId="0" fontId="22" fillId="11" borderId="6" xfId="0" applyFont="1" applyFill="1" applyBorder="1" applyAlignment="1">
      <alignment horizontal="center" vertical="top"/>
    </xf>
    <xf numFmtId="2" fontId="16" fillId="11" borderId="6" xfId="0" applyNumberFormat="1" applyFont="1" applyFill="1" applyBorder="1" applyAlignment="1">
      <alignment horizontal="right"/>
    </xf>
    <xf numFmtId="39" fontId="16" fillId="0" borderId="0" xfId="0" applyNumberFormat="1" applyFont="1"/>
    <xf numFmtId="49" fontId="16" fillId="8" borderId="6" xfId="0" applyNumberFormat="1" applyFont="1" applyFill="1" applyBorder="1" applyAlignment="1">
      <alignment horizontal="right"/>
    </xf>
    <xf numFmtId="0" fontId="33" fillId="8" borderId="6" xfId="21" applyFont="1" applyFill="1">
      <alignment horizontal="left" vertical="center" wrapText="1"/>
    </xf>
    <xf numFmtId="49" fontId="16" fillId="10" borderId="6" xfId="0" applyNumberFormat="1" applyFont="1" applyFill="1" applyBorder="1" applyAlignment="1">
      <alignment horizontal="right"/>
    </xf>
    <xf numFmtId="0" fontId="33" fillId="10" borderId="6" xfId="21" applyFont="1" applyFill="1">
      <alignment horizontal="left" vertical="center" wrapText="1"/>
    </xf>
    <xf numFmtId="4" fontId="16" fillId="0" borderId="0" xfId="0" applyNumberFormat="1" applyFont="1"/>
    <xf numFmtId="4" fontId="5" fillId="3" borderId="6" xfId="0" applyNumberFormat="1" applyFont="1" applyFill="1" applyBorder="1" applyAlignment="1">
      <alignment horizontal="right" vertical="center"/>
    </xf>
    <xf numFmtId="0" fontId="23" fillId="10" borderId="6" xfId="0" applyFont="1" applyFill="1" applyBorder="1" applyAlignment="1">
      <alignment horizontal="left" vertical="top" wrapText="1"/>
    </xf>
    <xf numFmtId="0" fontId="23" fillId="8" borderId="6" xfId="0" applyFont="1" applyFill="1" applyBorder="1" applyAlignment="1">
      <alignment horizontal="left" vertical="top" wrapText="1"/>
    </xf>
    <xf numFmtId="0" fontId="23" fillId="11" borderId="6" xfId="0" applyFont="1" applyFill="1" applyBorder="1" applyAlignment="1">
      <alignment horizontal="left" vertical="top" wrapText="1"/>
    </xf>
    <xf numFmtId="49" fontId="16" fillId="8" borderId="6" xfId="0" applyNumberFormat="1" applyFont="1" applyFill="1" applyBorder="1" applyAlignment="1">
      <alignment horizontal="center"/>
    </xf>
    <xf numFmtId="49" fontId="16" fillId="10" borderId="6" xfId="0" applyNumberFormat="1" applyFont="1" applyFill="1" applyBorder="1" applyAlignment="1">
      <alignment horizontal="center"/>
    </xf>
    <xf numFmtId="0" fontId="23" fillId="11" borderId="6" xfId="0" applyFont="1" applyFill="1" applyBorder="1" applyAlignment="1">
      <alignment vertical="top" wrapText="1"/>
    </xf>
    <xf numFmtId="0" fontId="23" fillId="8" borderId="6" xfId="0" applyFont="1" applyFill="1" applyBorder="1" applyAlignment="1">
      <alignment vertical="top" wrapText="1"/>
    </xf>
    <xf numFmtId="0" fontId="23" fillId="10" borderId="6" xfId="0" applyFont="1" applyFill="1" applyBorder="1" applyAlignment="1">
      <alignment vertical="top" wrapText="1"/>
    </xf>
    <xf numFmtId="0" fontId="23" fillId="8" borderId="8" xfId="0" applyFont="1" applyFill="1" applyBorder="1" applyAlignment="1">
      <alignment horizontal="left" vertical="top" wrapText="1"/>
    </xf>
    <xf numFmtId="0" fontId="23" fillId="11" borderId="8" xfId="0" applyFont="1" applyFill="1" applyBorder="1" applyAlignment="1">
      <alignment horizontal="left" vertical="top" wrapText="1"/>
    </xf>
    <xf numFmtId="0" fontId="23" fillId="10" borderId="8" xfId="0" applyFont="1" applyFill="1" applyBorder="1" applyAlignment="1">
      <alignment horizontal="left" vertical="top" wrapText="1"/>
    </xf>
    <xf numFmtId="166" fontId="2" fillId="0" borderId="0" xfId="0" applyNumberFormat="1" applyFont="1"/>
    <xf numFmtId="4" fontId="2" fillId="0" borderId="6" xfId="0" applyNumberFormat="1" applyFont="1" applyBorder="1"/>
    <xf numFmtId="0" fontId="34" fillId="0" borderId="0" xfId="0" applyFont="1"/>
    <xf numFmtId="0" fontId="16" fillId="13" borderId="0" xfId="0" applyFont="1" applyFill="1"/>
    <xf numFmtId="49" fontId="16" fillId="13" borderId="6" xfId="0" applyNumberFormat="1" applyFont="1" applyFill="1" applyBorder="1" applyAlignment="1">
      <alignment horizontal="right"/>
    </xf>
    <xf numFmtId="0" fontId="33" fillId="13" borderId="6" xfId="21" applyFont="1" applyFill="1">
      <alignment horizontal="left" vertical="center" wrapText="1"/>
    </xf>
    <xf numFmtId="39" fontId="23" fillId="13" borderId="8" xfId="0" applyNumberFormat="1" applyFont="1" applyFill="1" applyBorder="1" applyAlignment="1">
      <alignment horizontal="right" vertical="top" wrapText="1"/>
    </xf>
    <xf numFmtId="4" fontId="16" fillId="13" borderId="6" xfId="0" applyNumberFormat="1" applyFont="1" applyFill="1" applyBorder="1" applyAlignment="1">
      <alignment horizontal="right"/>
    </xf>
    <xf numFmtId="0" fontId="20" fillId="13" borderId="6" xfId="0" applyFont="1" applyFill="1" applyBorder="1" applyAlignment="1">
      <alignment horizontal="center" vertical="top"/>
    </xf>
    <xf numFmtId="0" fontId="20" fillId="13" borderId="6" xfId="0" applyFont="1" applyFill="1" applyBorder="1" applyAlignment="1">
      <alignment horizontal="left" vertical="top" wrapText="1"/>
    </xf>
    <xf numFmtId="0" fontId="20" fillId="11" borderId="6" xfId="0" applyFont="1" applyFill="1" applyBorder="1" applyAlignment="1">
      <alignment vertical="top" wrapText="1" readingOrder="1"/>
    </xf>
    <xf numFmtId="0" fontId="20" fillId="10" borderId="6" xfId="0" applyFont="1" applyFill="1" applyBorder="1" applyAlignment="1">
      <alignment vertical="top" wrapText="1" readingOrder="1"/>
    </xf>
    <xf numFmtId="0" fontId="22" fillId="13" borderId="6" xfId="0" applyFont="1" applyFill="1" applyBorder="1" applyAlignment="1">
      <alignment horizontal="center" vertical="top"/>
    </xf>
    <xf numFmtId="0" fontId="20" fillId="13" borderId="6" xfId="0" applyFont="1" applyFill="1" applyBorder="1" applyAlignment="1">
      <alignment vertical="top" wrapText="1" readingOrder="1"/>
    </xf>
    <xf numFmtId="0" fontId="20" fillId="8" borderId="6" xfId="0" applyFont="1" applyFill="1" applyBorder="1" applyAlignment="1">
      <alignment vertical="top" wrapText="1" readingOrder="1"/>
    </xf>
    <xf numFmtId="2" fontId="16" fillId="13" borderId="6" xfId="0" applyNumberFormat="1" applyFont="1" applyFill="1" applyBorder="1" applyAlignment="1">
      <alignment horizontal="right"/>
    </xf>
    <xf numFmtId="49" fontId="16" fillId="13" borderId="6" xfId="0" applyNumberFormat="1" applyFont="1" applyFill="1" applyBorder="1" applyAlignment="1">
      <alignment horizontal="center"/>
    </xf>
    <xf numFmtId="0" fontId="23" fillId="13" borderId="6" xfId="0" applyFont="1" applyFill="1" applyBorder="1" applyAlignment="1">
      <alignment horizontal="left" vertical="top" wrapText="1"/>
    </xf>
    <xf numFmtId="39" fontId="16" fillId="0" borderId="8" xfId="0" applyNumberFormat="1" applyFont="1" applyBorder="1" applyAlignment="1">
      <alignment horizontal="right" vertical="top" wrapText="1"/>
    </xf>
    <xf numFmtId="39" fontId="16" fillId="10" borderId="8" xfId="0" applyNumberFormat="1" applyFont="1" applyFill="1" applyBorder="1" applyAlignment="1">
      <alignment horizontal="right" vertical="top" wrapText="1"/>
    </xf>
    <xf numFmtId="39" fontId="16" fillId="13" borderId="8" xfId="0" applyNumberFormat="1" applyFont="1" applyFill="1" applyBorder="1" applyAlignment="1">
      <alignment horizontal="right" vertical="top" wrapText="1"/>
    </xf>
    <xf numFmtId="0" fontId="23" fillId="9" borderId="6" xfId="0" applyFont="1" applyFill="1" applyBorder="1" applyAlignment="1">
      <alignment vertical="top" wrapText="1"/>
    </xf>
    <xf numFmtId="0" fontId="23" fillId="13" borderId="6" xfId="0" applyFont="1" applyFill="1" applyBorder="1" applyAlignment="1">
      <alignment vertical="top" wrapText="1"/>
    </xf>
    <xf numFmtId="0" fontId="23" fillId="13" borderId="8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2" fontId="5" fillId="0" borderId="6" xfId="1" quotePrefix="1" applyNumberFormat="1" applyFont="1" applyBorder="1" applyAlignment="1">
      <alignment vertical="center" wrapText="1"/>
    </xf>
    <xf numFmtId="2" fontId="5" fillId="0" borderId="6" xfId="1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2" fontId="5" fillId="3" borderId="6" xfId="1" quotePrefix="1" applyNumberFormat="1" applyFont="1" applyFill="1" applyBorder="1" applyAlignment="1">
      <alignment vertical="center" wrapText="1"/>
    </xf>
    <xf numFmtId="2" fontId="5" fillId="3" borderId="6" xfId="1" applyNumberFormat="1" applyFont="1" applyFill="1" applyBorder="1" applyAlignment="1">
      <alignment vertical="center" wrapText="1"/>
    </xf>
    <xf numFmtId="2" fontId="2" fillId="0" borderId="6" xfId="1" quotePrefix="1" applyNumberFormat="1" applyFont="1" applyBorder="1" applyAlignment="1">
      <alignment vertical="center" wrapText="1"/>
    </xf>
    <xf numFmtId="2" fontId="2" fillId="0" borderId="6" xfId="1" applyNumberFormat="1" applyFont="1" applyBorder="1" applyAlignment="1">
      <alignment vertical="center" wrapText="1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5" fillId="0" borderId="6" xfId="0" applyFont="1" applyBorder="1" applyAlignment="1">
      <alignment vertical="center"/>
    </xf>
    <xf numFmtId="2" fontId="2" fillId="0" borderId="6" xfId="1" quotePrefix="1" applyNumberFormat="1" applyFont="1" applyBorder="1" applyAlignment="1">
      <alignment horizontal="left" vertical="center" wrapText="1"/>
    </xf>
    <xf numFmtId="2" fontId="2" fillId="0" borderId="6" xfId="1" quotePrefix="1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2" fontId="2" fillId="3" borderId="6" xfId="1" quotePrefix="1" applyNumberFormat="1" applyFont="1" applyFill="1" applyBorder="1" applyAlignment="1">
      <alignment vertical="center" wrapText="1"/>
    </xf>
    <xf numFmtId="2" fontId="2" fillId="3" borderId="6" xfId="1" applyNumberFormat="1" applyFont="1" applyFill="1" applyBorder="1" applyAlignment="1">
      <alignment vertical="center" wrapText="1"/>
    </xf>
    <xf numFmtId="0" fontId="2" fillId="0" borderId="3" xfId="0" applyFont="1" applyBorder="1"/>
    <xf numFmtId="0" fontId="2" fillId="0" borderId="5" xfId="0" applyFont="1" applyBorder="1"/>
    <xf numFmtId="0" fontId="5" fillId="2" borderId="3" xfId="0" applyFont="1" applyFill="1" applyBorder="1"/>
    <xf numFmtId="0" fontId="5" fillId="2" borderId="5" xfId="0" applyFont="1" applyFill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0" borderId="6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2" fontId="2" fillId="0" borderId="3" xfId="1" quotePrefix="1" applyNumberFormat="1" applyFont="1" applyBorder="1" applyAlignment="1">
      <alignment vertical="center" wrapText="1"/>
    </xf>
    <xf numFmtId="2" fontId="2" fillId="0" borderId="4" xfId="1" quotePrefix="1" applyNumberFormat="1" applyFont="1" applyBorder="1" applyAlignment="1">
      <alignment vertical="center" wrapText="1"/>
    </xf>
    <xf numFmtId="2" fontId="2" fillId="0" borderId="5" xfId="1" quotePrefix="1" applyNumberFormat="1" applyFont="1" applyBorder="1" applyAlignment="1">
      <alignment vertical="center" wrapText="1"/>
    </xf>
    <xf numFmtId="2" fontId="2" fillId="0" borderId="3" xfId="1" quotePrefix="1" applyNumberFormat="1" applyFont="1" applyBorder="1" applyAlignment="1">
      <alignment horizontal="left" vertical="center" wrapText="1"/>
    </xf>
    <xf numFmtId="2" fontId="2" fillId="0" borderId="4" xfId="1" quotePrefix="1" applyNumberFormat="1" applyFont="1" applyBorder="1" applyAlignment="1">
      <alignment horizontal="left" vertical="center" wrapText="1"/>
    </xf>
    <xf numFmtId="2" fontId="2" fillId="0" borderId="5" xfId="1" quotePrefix="1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3" xfId="0" quotePrefix="1" applyFont="1" applyBorder="1" applyAlignment="1">
      <alignment horizontal="left" vertical="center"/>
    </xf>
    <xf numFmtId="0" fontId="5" fillId="0" borderId="5" xfId="0" quotePrefix="1" applyFont="1" applyBorder="1" applyAlignment="1">
      <alignment horizontal="left" vertical="center"/>
    </xf>
    <xf numFmtId="0" fontId="19" fillId="0" borderId="3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/>
    </xf>
    <xf numFmtId="0" fontId="16" fillId="0" borderId="0" xfId="0" applyFont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</cellXfs>
  <cellStyles count="22">
    <cellStyle name="Čárka 2" xfId="10" xr:uid="{AFCF7427-62E1-4F77-A8FD-B8F05011A3B9}"/>
    <cellStyle name="Comma 2" xfId="14" xr:uid="{B613D1EA-DB1B-4705-B459-90EA0DE5F574}"/>
    <cellStyle name="Comma 2 2" xfId="18" xr:uid="{C005CE9A-F41C-40DD-A1BE-0E09527B2B52}"/>
    <cellStyle name="Comma 3" xfId="15" xr:uid="{6060F038-2CFB-4C10-8E02-6CE0D7F08109}"/>
    <cellStyle name="Comma 4" xfId="17" xr:uid="{0B92704C-1236-49CB-BBC9-9979926328DD}"/>
    <cellStyle name="Comma 5" xfId="19" xr:uid="{0CB2FAC5-E9F1-493F-B8F4-8EF759928589}"/>
    <cellStyle name="DateShort" xfId="11" xr:uid="{E79AC031-BFDE-484D-A7D3-3F1C213236A4}"/>
    <cellStyle name="Normal" xfId="0" builtinId="0"/>
    <cellStyle name="Normal 10" xfId="20" xr:uid="{5396B5DC-00DD-4890-B336-CE1FACB756F6}"/>
    <cellStyle name="Normal 2" xfId="1" xr:uid="{00000000-0005-0000-0000-000001000000}"/>
    <cellStyle name="Normal 3" xfId="4" xr:uid="{4CCCE4B8-0D61-4830-86A1-49DD8A71890D}"/>
    <cellStyle name="Normal 4" xfId="5" xr:uid="{FFF4EEBB-8748-4839-B3FC-5CD96D325D9B}"/>
    <cellStyle name="Normal 5" xfId="6" xr:uid="{3C22EA92-EFB7-4D04-95D0-7C73A3815B26}"/>
    <cellStyle name="Normal 6" xfId="7" xr:uid="{47B0BFD9-A50A-4392-B9D6-648EBBF1FF68}"/>
    <cellStyle name="Normal 7" xfId="8" xr:uid="{1A7D4ABC-D9A0-4FD4-9802-1A7A13629C60}"/>
    <cellStyle name="Normal 8" xfId="9" xr:uid="{731F01FD-EE93-4737-9EBC-052FCD117139}"/>
    <cellStyle name="Normal 9" xfId="12" xr:uid="{CA8FC7E5-16A1-4299-B7BD-B1682F4DE187}"/>
    <cellStyle name="Normální 2" xfId="13" xr:uid="{68F4BF71-8DD7-4607-9B3E-BFB00B579643}"/>
    <cellStyle name="Percent 2" xfId="16" xr:uid="{89D1F88A-97C0-42DA-B83F-607796BF8DBF}"/>
    <cellStyle name="Procent" xfId="3" builtinId="5"/>
    <cellStyle name="stil_0" xfId="2" xr:uid="{00000000-0005-0000-0000-000002000000}"/>
    <cellStyle name="stil_8" xfId="21" xr:uid="{5A28F75E-1287-4C94-B719-1EC16B3F608E}"/>
  </cellStyles>
  <dxfs count="0"/>
  <tableStyles count="0" defaultTableStyle="TableStyleMedium2" defaultPivotStyle="PivotStyleLight16"/>
  <colors>
    <mruColors>
      <color rgb="FFFFFF00"/>
      <color rgb="FFDAEEF3"/>
      <color rgb="FF92D050"/>
      <color rgb="FF00B0F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7"/>
  <sheetViews>
    <sheetView view="pageBreakPreview" topLeftCell="A4" zoomScale="150" zoomScaleNormal="100" zoomScaleSheetLayoutView="150" workbookViewId="0">
      <selection activeCell="A19" sqref="A17:XFD19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1.59765625" style="1" customWidth="1"/>
    <col min="6" max="6" width="11.3984375" style="1" customWidth="1"/>
    <col min="7" max="7" width="10.3984375" style="1" customWidth="1"/>
    <col min="8" max="8" width="11.3984375" style="1" customWidth="1"/>
    <col min="9" max="9" width="10.5" style="1" customWidth="1"/>
    <col min="10" max="10" width="6.69921875" style="1" customWidth="1"/>
    <col min="11" max="11" width="4.59765625" style="1" customWidth="1"/>
    <col min="12" max="12" width="11.5" style="1" customWidth="1"/>
    <col min="13" max="13" width="10.69921875" style="1" customWidth="1"/>
    <col min="14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8" x14ac:dyDescent="0.25">
      <c r="A1" s="117" t="s">
        <v>0</v>
      </c>
      <c r="B1" s="117"/>
      <c r="C1" s="117"/>
      <c r="F1" s="252" t="s">
        <v>1</v>
      </c>
      <c r="G1" s="252"/>
      <c r="H1" s="49" t="s">
        <v>697</v>
      </c>
    </row>
    <row r="2" spans="1:18" ht="11.1" customHeight="1" x14ac:dyDescent="0.25">
      <c r="A2" s="256"/>
      <c r="B2" s="256"/>
      <c r="C2" s="256"/>
    </row>
    <row r="3" spans="1:18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8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8" s="2" customFormat="1" ht="15.6" x14ac:dyDescent="0.3">
      <c r="A5" s="255" t="s">
        <v>698</v>
      </c>
      <c r="B5" s="255"/>
      <c r="C5" s="255"/>
      <c r="D5" s="255"/>
      <c r="E5" s="255"/>
      <c r="F5" s="255"/>
      <c r="G5" s="255"/>
      <c r="H5" s="255"/>
      <c r="I5" s="255"/>
    </row>
    <row r="6" spans="1:18" ht="11.1" customHeight="1" x14ac:dyDescent="0.25">
      <c r="C6" s="235" t="s">
        <v>5</v>
      </c>
      <c r="D6" s="235"/>
      <c r="E6" s="65">
        <v>45139</v>
      </c>
      <c r="F6" s="2">
        <v>4.9307999999999996</v>
      </c>
      <c r="G6" s="3" t="s">
        <v>6</v>
      </c>
      <c r="H6" s="4"/>
    </row>
    <row r="7" spans="1:18" ht="14.25" customHeight="1" x14ac:dyDescent="0.25">
      <c r="A7" s="236" t="s">
        <v>7</v>
      </c>
      <c r="B7" s="236"/>
      <c r="C7" s="236"/>
      <c r="D7" s="5"/>
      <c r="H7" s="206" t="s">
        <v>8</v>
      </c>
      <c r="I7" s="206"/>
      <c r="J7" s="6" t="s">
        <v>9</v>
      </c>
    </row>
    <row r="8" spans="1:18" ht="12" customHeight="1" x14ac:dyDescent="0.25">
      <c r="A8" s="40"/>
      <c r="B8" s="237" t="s">
        <v>10</v>
      </c>
      <c r="C8" s="238"/>
      <c r="D8" s="238"/>
      <c r="E8" s="237" t="s">
        <v>11</v>
      </c>
      <c r="F8" s="239"/>
      <c r="G8" s="237" t="s">
        <v>12</v>
      </c>
      <c r="H8" s="258" t="s">
        <v>13</v>
      </c>
      <c r="I8" s="238"/>
    </row>
    <row r="9" spans="1:18" ht="12" customHeight="1" x14ac:dyDescent="0.25">
      <c r="A9" s="40" t="s">
        <v>14</v>
      </c>
      <c r="B9" s="238"/>
      <c r="C9" s="238"/>
      <c r="D9" s="238"/>
      <c r="E9" s="239"/>
      <c r="F9" s="239"/>
      <c r="G9" s="239"/>
      <c r="H9" s="238"/>
      <c r="I9" s="238"/>
    </row>
    <row r="10" spans="1:18" ht="11.1" customHeight="1" x14ac:dyDescent="0.25">
      <c r="A10" s="40" t="s">
        <v>15</v>
      </c>
      <c r="B10" s="238"/>
      <c r="C10" s="238"/>
      <c r="D10" s="238"/>
      <c r="E10" s="239"/>
      <c r="F10" s="239"/>
      <c r="G10" s="239"/>
      <c r="H10" s="259" t="s">
        <v>16</v>
      </c>
      <c r="I10" s="259"/>
      <c r="J10" s="7"/>
    </row>
    <row r="11" spans="1:18" ht="11.1" customHeight="1" x14ac:dyDescent="0.25">
      <c r="A11" s="40"/>
      <c r="B11" s="238"/>
      <c r="C11" s="238"/>
      <c r="D11" s="238"/>
      <c r="E11" s="16" t="s">
        <v>17</v>
      </c>
      <c r="F11" s="16" t="s">
        <v>18</v>
      </c>
      <c r="G11" s="16" t="s">
        <v>17</v>
      </c>
      <c r="H11" s="16" t="s">
        <v>17</v>
      </c>
      <c r="I11" s="16" t="s">
        <v>18</v>
      </c>
    </row>
    <row r="12" spans="1:18" ht="11.1" customHeight="1" x14ac:dyDescent="0.25">
      <c r="A12" s="40">
        <v>1</v>
      </c>
      <c r="B12" s="251">
        <v>2</v>
      </c>
      <c r="C12" s="251"/>
      <c r="D12" s="251"/>
      <c r="E12" s="16">
        <v>3</v>
      </c>
      <c r="F12" s="16">
        <v>4</v>
      </c>
      <c r="G12" s="16">
        <v>5</v>
      </c>
      <c r="H12" s="16">
        <v>6</v>
      </c>
      <c r="I12" s="16">
        <v>7</v>
      </c>
    </row>
    <row r="13" spans="1:18" ht="11.1" customHeight="1" x14ac:dyDescent="0.25">
      <c r="A13" s="39"/>
      <c r="B13" s="15"/>
      <c r="C13" s="240" t="s">
        <v>19</v>
      </c>
      <c r="D13" s="241"/>
      <c r="E13" s="17"/>
      <c r="F13" s="8"/>
      <c r="G13" s="8"/>
      <c r="H13" s="17"/>
      <c r="I13" s="17"/>
    </row>
    <row r="14" spans="1:18" ht="11.1" customHeight="1" x14ac:dyDescent="0.25">
      <c r="A14" s="39"/>
      <c r="B14" s="246" t="s">
        <v>20</v>
      </c>
      <c r="C14" s="247"/>
      <c r="D14" s="248"/>
      <c r="E14" s="19"/>
      <c r="F14" s="9"/>
      <c r="G14" s="9"/>
      <c r="H14" s="19"/>
      <c r="I14" s="19"/>
    </row>
    <row r="15" spans="1:18" ht="11.1" customHeight="1" x14ac:dyDescent="0.25">
      <c r="A15" s="41" t="s">
        <v>21</v>
      </c>
      <c r="B15" s="15"/>
      <c r="C15" s="227" t="s">
        <v>22</v>
      </c>
      <c r="D15" s="228"/>
      <c r="E15" s="8">
        <v>0</v>
      </c>
      <c r="F15" s="8">
        <f>E15/F6</f>
        <v>0</v>
      </c>
      <c r="G15" s="8">
        <f t="shared" ref="G15" si="0">E15*0.19</f>
        <v>0</v>
      </c>
      <c r="H15" s="8">
        <f>E15+G15</f>
        <v>0</v>
      </c>
      <c r="I15" s="8">
        <f t="shared" ref="I15" si="1">H15/$F$6</f>
        <v>0</v>
      </c>
      <c r="K15" s="32"/>
    </row>
    <row r="16" spans="1:18" ht="11.1" customHeight="1" x14ac:dyDescent="0.25">
      <c r="A16" s="44" t="s">
        <v>23</v>
      </c>
      <c r="B16" s="55"/>
      <c r="C16" s="242" t="s">
        <v>24</v>
      </c>
      <c r="D16" s="243"/>
      <c r="E16" s="36">
        <f>SUM(E17:E28)</f>
        <v>0</v>
      </c>
      <c r="F16" s="36">
        <f t="shared" ref="F16:I16" si="2">SUM(F17:F28)</f>
        <v>0</v>
      </c>
      <c r="G16" s="36">
        <f t="shared" si="2"/>
        <v>0</v>
      </c>
      <c r="H16" s="36">
        <f t="shared" si="2"/>
        <v>0</v>
      </c>
      <c r="I16" s="36">
        <f t="shared" si="2"/>
        <v>0</v>
      </c>
      <c r="M16" s="54"/>
      <c r="N16" s="54"/>
      <c r="O16" s="54"/>
      <c r="P16" s="54"/>
      <c r="Q16" s="54"/>
      <c r="R16" s="54"/>
    </row>
    <row r="17" spans="1:13" hidden="1" x14ac:dyDescent="0.25">
      <c r="A17" s="39"/>
      <c r="B17" s="112" t="s">
        <v>25</v>
      </c>
      <c r="C17" s="38" t="s">
        <v>26</v>
      </c>
      <c r="D17" s="56" t="str">
        <f>D76</f>
        <v>Statia 110/20 kV Belcesti, jud. IS</v>
      </c>
      <c r="E17" s="8">
        <f>'(1)F1 Bel'!C15</f>
        <v>0</v>
      </c>
      <c r="F17" s="8">
        <f>ROUND(E17/$F$6,2)</f>
        <v>0</v>
      </c>
      <c r="G17" s="8">
        <f>ROUND(E17*$K$3,2)</f>
        <v>0</v>
      </c>
      <c r="H17" s="8">
        <f>E17+G17</f>
        <v>0</v>
      </c>
      <c r="I17" s="8">
        <f>ROUND(G17/$F$6,2)+F17</f>
        <v>0</v>
      </c>
      <c r="J17" s="54"/>
      <c r="K17" s="54"/>
      <c r="M17" s="54"/>
    </row>
    <row r="18" spans="1:13" hidden="1" x14ac:dyDescent="0.25">
      <c r="A18" s="39"/>
      <c r="B18" s="112" t="s">
        <v>27</v>
      </c>
      <c r="C18" s="38" t="s">
        <v>28</v>
      </c>
      <c r="D18" s="56" t="str">
        <f t="shared" ref="D18:D28" si="3">D77</f>
        <v>Statia 20 kV Tabara, jud. IS</v>
      </c>
      <c r="E18" s="8">
        <f>'(2)F1 Tab'!C15</f>
        <v>0</v>
      </c>
      <c r="F18" s="8">
        <f t="shared" ref="F18:F28" si="4">ROUND(E18/$F$6,2)</f>
        <v>0</v>
      </c>
      <c r="G18" s="8">
        <f t="shared" ref="G18:G28" si="5">ROUND(E18*$K$3,2)</f>
        <v>0</v>
      </c>
      <c r="H18" s="8">
        <f t="shared" ref="H18:H28" si="6">E18+G18</f>
        <v>0</v>
      </c>
      <c r="I18" s="8">
        <f t="shared" ref="I18:I28" si="7">ROUND(G18/$F$6,2)+F18</f>
        <v>0</v>
      </c>
      <c r="J18" s="54"/>
      <c r="K18" s="54"/>
      <c r="M18" s="54"/>
    </row>
    <row r="19" spans="1:13" ht="11.1" hidden="1" customHeight="1" x14ac:dyDescent="0.25">
      <c r="A19" s="39"/>
      <c r="B19" s="112" t="s">
        <v>29</v>
      </c>
      <c r="C19" s="38" t="s">
        <v>30</v>
      </c>
      <c r="D19" s="56" t="str">
        <f t="shared" si="3"/>
        <v>Statia 110/20 kV Trifesti, jud. IS</v>
      </c>
      <c r="E19" s="8">
        <f>'(3)F1 Trif'!C15</f>
        <v>0</v>
      </c>
      <c r="F19" s="8">
        <f t="shared" si="4"/>
        <v>0</v>
      </c>
      <c r="G19" s="8">
        <f t="shared" si="5"/>
        <v>0</v>
      </c>
      <c r="H19" s="8">
        <f t="shared" si="6"/>
        <v>0</v>
      </c>
      <c r="I19" s="8">
        <f t="shared" si="7"/>
        <v>0</v>
      </c>
      <c r="J19" s="54"/>
      <c r="K19" s="54"/>
      <c r="M19" s="54"/>
    </row>
    <row r="20" spans="1:13" ht="11.1" customHeight="1" x14ac:dyDescent="0.25">
      <c r="A20" s="39"/>
      <c r="B20" s="112" t="s">
        <v>31</v>
      </c>
      <c r="C20" s="38" t="s">
        <v>32</v>
      </c>
      <c r="D20" s="56" t="str">
        <f t="shared" si="3"/>
        <v>Statia 110/6 kV Roman IMR, jud. NT</v>
      </c>
      <c r="E20" s="8">
        <f>'(4)F1 IMR'!C15</f>
        <v>0</v>
      </c>
      <c r="F20" s="8">
        <f t="shared" si="4"/>
        <v>0</v>
      </c>
      <c r="G20" s="8">
        <f t="shared" si="5"/>
        <v>0</v>
      </c>
      <c r="H20" s="8">
        <f t="shared" si="6"/>
        <v>0</v>
      </c>
      <c r="I20" s="8">
        <f t="shared" si="7"/>
        <v>0</v>
      </c>
      <c r="J20" s="54"/>
      <c r="K20" s="54"/>
      <c r="M20" s="54"/>
    </row>
    <row r="21" spans="1:13" ht="11.1" customHeight="1" x14ac:dyDescent="0.25">
      <c r="A21" s="39"/>
      <c r="B21" s="112" t="s">
        <v>33</v>
      </c>
      <c r="C21" s="38" t="s">
        <v>34</v>
      </c>
      <c r="D21" s="56" t="str">
        <f t="shared" si="3"/>
        <v>Statia 110/20 kV PAL Neamt, jud. NT</v>
      </c>
      <c r="E21" s="8">
        <f>'(5)F1 PAL'!C15</f>
        <v>0</v>
      </c>
      <c r="F21" s="8">
        <f t="shared" si="4"/>
        <v>0</v>
      </c>
      <c r="G21" s="8">
        <f t="shared" si="5"/>
        <v>0</v>
      </c>
      <c r="H21" s="8">
        <f t="shared" si="6"/>
        <v>0</v>
      </c>
      <c r="I21" s="8">
        <f t="shared" si="7"/>
        <v>0</v>
      </c>
      <c r="J21" s="54"/>
      <c r="K21" s="54"/>
      <c r="M21" s="54"/>
    </row>
    <row r="22" spans="1:13" ht="11.1" customHeight="1" x14ac:dyDescent="0.25">
      <c r="A22" s="39"/>
      <c r="B22" s="112" t="s">
        <v>35</v>
      </c>
      <c r="C22" s="38" t="s">
        <v>36</v>
      </c>
      <c r="D22" s="56" t="str">
        <f t="shared" si="3"/>
        <v>Statia 110/20 kV P.N. Gara, jud. NT</v>
      </c>
      <c r="E22" s="8">
        <f>'(6)F1 PNG'!C15</f>
        <v>0</v>
      </c>
      <c r="F22" s="8">
        <f t="shared" si="4"/>
        <v>0</v>
      </c>
      <c r="G22" s="8">
        <f t="shared" si="5"/>
        <v>0</v>
      </c>
      <c r="H22" s="8">
        <f t="shared" si="6"/>
        <v>0</v>
      </c>
      <c r="I22" s="8">
        <f t="shared" si="7"/>
        <v>0</v>
      </c>
      <c r="J22" s="54"/>
      <c r="K22" s="54"/>
      <c r="M22" s="54"/>
    </row>
    <row r="23" spans="1:13" ht="11.1" customHeight="1" x14ac:dyDescent="0.25">
      <c r="A23" s="39"/>
      <c r="B23" s="112" t="s">
        <v>37</v>
      </c>
      <c r="C23" s="38" t="s">
        <v>38</v>
      </c>
      <c r="D23" s="56" t="str">
        <f t="shared" si="3"/>
        <v>Statia 110/20 kV Roman Vest, jud. NT</v>
      </c>
      <c r="E23" s="8">
        <f>'(7)F1 RV'!C15</f>
        <v>0</v>
      </c>
      <c r="F23" s="8">
        <f t="shared" si="4"/>
        <v>0</v>
      </c>
      <c r="G23" s="8">
        <f t="shared" si="5"/>
        <v>0</v>
      </c>
      <c r="H23" s="8">
        <f t="shared" si="6"/>
        <v>0</v>
      </c>
      <c r="I23" s="8">
        <f t="shared" si="7"/>
        <v>0</v>
      </c>
      <c r="J23" s="54"/>
      <c r="K23" s="54"/>
      <c r="M23" s="54"/>
    </row>
    <row r="24" spans="1:13" ht="11.1" hidden="1" customHeight="1" x14ac:dyDescent="0.25">
      <c r="A24" s="39"/>
      <c r="B24" s="112" t="s">
        <v>731</v>
      </c>
      <c r="C24" s="38" t="s">
        <v>708</v>
      </c>
      <c r="D24" s="56" t="str">
        <f t="shared" si="3"/>
        <v>Statia 110/20 kV Delnita, jud. SV</v>
      </c>
      <c r="E24" s="8">
        <f>'(8)F1 Del'!C15</f>
        <v>0</v>
      </c>
      <c r="F24" s="8">
        <f t="shared" si="4"/>
        <v>0</v>
      </c>
      <c r="G24" s="8">
        <f t="shared" si="5"/>
        <v>0</v>
      </c>
      <c r="H24" s="8">
        <f t="shared" si="6"/>
        <v>0</v>
      </c>
      <c r="I24" s="8">
        <f t="shared" si="7"/>
        <v>0</v>
      </c>
      <c r="J24" s="54"/>
      <c r="K24" s="54"/>
      <c r="M24" s="54"/>
    </row>
    <row r="25" spans="1:13" ht="11.1" hidden="1" customHeight="1" x14ac:dyDescent="0.25">
      <c r="A25" s="39"/>
      <c r="B25" s="112" t="s">
        <v>732</v>
      </c>
      <c r="C25" s="38" t="s">
        <v>709</v>
      </c>
      <c r="D25" s="56" t="str">
        <f t="shared" si="3"/>
        <v>Statia 110/20 kV Iacobeni, jud. SV</v>
      </c>
      <c r="E25" s="8">
        <f>'(9)F1 Iac'!C15</f>
        <v>0</v>
      </c>
      <c r="F25" s="8">
        <f t="shared" si="4"/>
        <v>0</v>
      </c>
      <c r="G25" s="8">
        <f t="shared" si="5"/>
        <v>0</v>
      </c>
      <c r="H25" s="8">
        <f t="shared" si="6"/>
        <v>0</v>
      </c>
      <c r="I25" s="8">
        <f t="shared" si="7"/>
        <v>0</v>
      </c>
      <c r="J25" s="54"/>
      <c r="K25" s="54"/>
      <c r="M25" s="54"/>
    </row>
    <row r="26" spans="1:13" ht="11.1" hidden="1" customHeight="1" x14ac:dyDescent="0.25">
      <c r="A26" s="39"/>
      <c r="B26" s="112" t="s">
        <v>733</v>
      </c>
      <c r="C26" s="38" t="s">
        <v>710</v>
      </c>
      <c r="D26" s="56" t="str">
        <f t="shared" si="3"/>
        <v>Statia 110/6 kV Radiatoare, jud. SV</v>
      </c>
      <c r="E26" s="8">
        <f>'(10)F1 Rad'!C15</f>
        <v>0</v>
      </c>
      <c r="F26" s="8">
        <f t="shared" si="4"/>
        <v>0</v>
      </c>
      <c r="G26" s="8">
        <f t="shared" si="5"/>
        <v>0</v>
      </c>
      <c r="H26" s="8">
        <f t="shared" si="6"/>
        <v>0</v>
      </c>
      <c r="I26" s="8">
        <f t="shared" si="7"/>
        <v>0</v>
      </c>
      <c r="J26" s="54"/>
      <c r="K26" s="54"/>
      <c r="M26" s="54"/>
    </row>
    <row r="27" spans="1:13" ht="11.1" hidden="1" customHeight="1" x14ac:dyDescent="0.25">
      <c r="A27" s="39"/>
      <c r="B27" s="112" t="s">
        <v>734</v>
      </c>
      <c r="C27" s="38" t="s">
        <v>711</v>
      </c>
      <c r="D27" s="56" t="str">
        <f t="shared" si="3"/>
        <v>Statia 110/20/6 kV Tarnita, jud. SV</v>
      </c>
      <c r="E27" s="8">
        <f>'(11)F1 Tar'!C15</f>
        <v>0</v>
      </c>
      <c r="F27" s="8">
        <f t="shared" si="4"/>
        <v>0</v>
      </c>
      <c r="G27" s="8">
        <f t="shared" si="5"/>
        <v>0</v>
      </c>
      <c r="H27" s="8">
        <f t="shared" si="6"/>
        <v>0</v>
      </c>
      <c r="I27" s="8">
        <f t="shared" si="7"/>
        <v>0</v>
      </c>
      <c r="J27" s="54"/>
      <c r="K27" s="54"/>
      <c r="M27" s="54"/>
    </row>
    <row r="28" spans="1:13" ht="11.1" hidden="1" customHeight="1" x14ac:dyDescent="0.25">
      <c r="A28" s="39"/>
      <c r="B28" s="112" t="s">
        <v>735</v>
      </c>
      <c r="C28" s="38" t="s">
        <v>712</v>
      </c>
      <c r="D28" s="56" t="str">
        <f t="shared" si="3"/>
        <v>Statia 110/20 kV Mirauti, jud. SV</v>
      </c>
      <c r="E28" s="8">
        <f>'(12)F1 Mir'!C15</f>
        <v>0</v>
      </c>
      <c r="F28" s="8">
        <f t="shared" si="4"/>
        <v>0</v>
      </c>
      <c r="G28" s="8">
        <f t="shared" si="5"/>
        <v>0</v>
      </c>
      <c r="H28" s="8">
        <f t="shared" si="6"/>
        <v>0</v>
      </c>
      <c r="I28" s="8">
        <f t="shared" si="7"/>
        <v>0</v>
      </c>
      <c r="J28" s="54"/>
      <c r="K28" s="54"/>
      <c r="M28" s="54"/>
    </row>
    <row r="29" spans="1:13" ht="11.1" customHeight="1" x14ac:dyDescent="0.25">
      <c r="A29" s="44" t="s">
        <v>39</v>
      </c>
      <c r="B29" s="115"/>
      <c r="C29" s="55" t="s">
        <v>40</v>
      </c>
      <c r="D29" s="55"/>
      <c r="E29" s="36">
        <f>SUM(E30:E41)</f>
        <v>0</v>
      </c>
      <c r="F29" s="36">
        <f t="shared" ref="F29:I29" si="8">SUM(F30:F41)</f>
        <v>0</v>
      </c>
      <c r="G29" s="36">
        <f t="shared" si="8"/>
        <v>0</v>
      </c>
      <c r="H29" s="36">
        <f t="shared" si="8"/>
        <v>0</v>
      </c>
      <c r="I29" s="36">
        <f t="shared" si="8"/>
        <v>0</v>
      </c>
      <c r="M29" s="54"/>
    </row>
    <row r="30" spans="1:13" ht="11.1" hidden="1" customHeight="1" x14ac:dyDescent="0.25">
      <c r="A30" s="39"/>
      <c r="B30" s="112" t="s">
        <v>41</v>
      </c>
      <c r="C30" s="38" t="s">
        <v>26</v>
      </c>
      <c r="D30" s="15" t="str">
        <f>D76</f>
        <v>Statia 110/20 kV Belcesti, jud. IS</v>
      </c>
      <c r="E30" s="8">
        <f>'(1)F1 Bel'!C38</f>
        <v>0</v>
      </c>
      <c r="F30" s="8">
        <f t="shared" ref="F30:F35" si="9">ROUND(E30/$F$6,2)</f>
        <v>0</v>
      </c>
      <c r="G30" s="8">
        <f t="shared" ref="G30:G42" si="10">ROUND(E30*$K$3,2)</f>
        <v>0</v>
      </c>
      <c r="H30" s="8">
        <f t="shared" ref="H30:H42" si="11">E30+G30</f>
        <v>0</v>
      </c>
      <c r="I30" s="8">
        <f t="shared" ref="I30:I42" si="12">ROUND(G30/$F$6,2)+F30</f>
        <v>0</v>
      </c>
      <c r="M30" s="54"/>
    </row>
    <row r="31" spans="1:13" ht="11.1" hidden="1" customHeight="1" x14ac:dyDescent="0.25">
      <c r="A31" s="39"/>
      <c r="B31" s="112" t="s">
        <v>42</v>
      </c>
      <c r="C31" s="38" t="s">
        <v>28</v>
      </c>
      <c r="D31" s="15" t="str">
        <f t="shared" ref="D31:D41" si="13">D77</f>
        <v>Statia 20 kV Tabara, jud. IS</v>
      </c>
      <c r="E31" s="8">
        <f>'(2)F1 Tab'!C27</f>
        <v>0</v>
      </c>
      <c r="F31" s="8">
        <f t="shared" si="9"/>
        <v>0</v>
      </c>
      <c r="G31" s="8">
        <f t="shared" ref="G31" si="14">ROUND(E31*$K$3,2)</f>
        <v>0</v>
      </c>
      <c r="H31" s="8">
        <f t="shared" ref="H31" si="15">E31+G31</f>
        <v>0</v>
      </c>
      <c r="I31" s="8">
        <f t="shared" ref="I31" si="16">ROUND(G31/$F$6,2)+F31</f>
        <v>0</v>
      </c>
      <c r="M31" s="54"/>
    </row>
    <row r="32" spans="1:13" ht="11.1" hidden="1" customHeight="1" x14ac:dyDescent="0.25">
      <c r="A32" s="39"/>
      <c r="B32" s="112" t="s">
        <v>43</v>
      </c>
      <c r="C32" s="38" t="s">
        <v>30</v>
      </c>
      <c r="D32" s="15" t="str">
        <f t="shared" si="13"/>
        <v>Statia 110/20 kV Trifesti, jud. IS</v>
      </c>
      <c r="E32" s="8">
        <f>'(3)F1 Trif'!C36</f>
        <v>0</v>
      </c>
      <c r="F32" s="8">
        <f t="shared" si="9"/>
        <v>0</v>
      </c>
      <c r="G32" s="8">
        <f t="shared" ref="G32" si="17">ROUND(E32*$K$3,2)</f>
        <v>0</v>
      </c>
      <c r="H32" s="8">
        <f t="shared" ref="H32" si="18">E32+G32</f>
        <v>0</v>
      </c>
      <c r="I32" s="8">
        <f t="shared" ref="I32" si="19">ROUND(G32/$F$6,2)+F32</f>
        <v>0</v>
      </c>
      <c r="M32" s="54"/>
    </row>
    <row r="33" spans="1:18" ht="11.1" customHeight="1" x14ac:dyDescent="0.25">
      <c r="A33" s="39"/>
      <c r="B33" s="112" t="s">
        <v>44</v>
      </c>
      <c r="C33" s="38" t="s">
        <v>32</v>
      </c>
      <c r="D33" s="15" t="str">
        <f t="shared" si="13"/>
        <v>Statia 110/6 kV Roman IMR, jud. NT</v>
      </c>
      <c r="E33" s="8">
        <f>'(4)F1 IMR'!C40</f>
        <v>0</v>
      </c>
      <c r="F33" s="8">
        <f t="shared" si="9"/>
        <v>0</v>
      </c>
      <c r="G33" s="8">
        <f t="shared" ref="G33" si="20">ROUND(E33*$K$3,2)</f>
        <v>0</v>
      </c>
      <c r="H33" s="8">
        <f t="shared" ref="H33" si="21">E33+G33</f>
        <v>0</v>
      </c>
      <c r="I33" s="8">
        <f t="shared" ref="I33" si="22">ROUND(G33/$F$6,2)+F33</f>
        <v>0</v>
      </c>
      <c r="M33" s="54"/>
    </row>
    <row r="34" spans="1:18" ht="11.1" customHeight="1" x14ac:dyDescent="0.25">
      <c r="A34" s="39"/>
      <c r="B34" s="112" t="s">
        <v>45</v>
      </c>
      <c r="C34" s="38" t="s">
        <v>34</v>
      </c>
      <c r="D34" s="15" t="str">
        <f t="shared" si="13"/>
        <v>Statia 110/20 kV PAL Neamt, jud. NT</v>
      </c>
      <c r="E34" s="8">
        <f>'(5)F1 PAL'!C36</f>
        <v>0</v>
      </c>
      <c r="F34" s="8">
        <f t="shared" si="9"/>
        <v>0</v>
      </c>
      <c r="G34" s="8">
        <f t="shared" ref="G34" si="23">ROUND(E34*$K$3,2)</f>
        <v>0</v>
      </c>
      <c r="H34" s="8">
        <f t="shared" ref="H34" si="24">E34+G34</f>
        <v>0</v>
      </c>
      <c r="I34" s="8">
        <f t="shared" ref="I34" si="25">ROUND(G34/$F$6,2)+F34</f>
        <v>0</v>
      </c>
      <c r="M34" s="54"/>
    </row>
    <row r="35" spans="1:18" ht="11.1" customHeight="1" x14ac:dyDescent="0.25">
      <c r="A35" s="39"/>
      <c r="B35" s="112" t="s">
        <v>46</v>
      </c>
      <c r="C35" s="38" t="s">
        <v>36</v>
      </c>
      <c r="D35" s="15" t="str">
        <f t="shared" si="13"/>
        <v>Statia 110/20 kV P.N. Gara, jud. NT</v>
      </c>
      <c r="E35" s="8">
        <f>'(6)F1 PNG'!C39</f>
        <v>0</v>
      </c>
      <c r="F35" s="8">
        <f t="shared" si="9"/>
        <v>0</v>
      </c>
      <c r="G35" s="8">
        <f t="shared" ref="G35" si="26">ROUND(E35*$K$3,2)</f>
        <v>0</v>
      </c>
      <c r="H35" s="8">
        <f t="shared" ref="H35" si="27">E35+G35</f>
        <v>0</v>
      </c>
      <c r="I35" s="8">
        <f t="shared" ref="I35" si="28">ROUND(G35/$F$6,2)+F35</f>
        <v>0</v>
      </c>
      <c r="M35" s="54"/>
    </row>
    <row r="36" spans="1:18" ht="11.1" customHeight="1" x14ac:dyDescent="0.25">
      <c r="A36" s="39"/>
      <c r="B36" s="112" t="s">
        <v>47</v>
      </c>
      <c r="C36" s="38" t="s">
        <v>38</v>
      </c>
      <c r="D36" s="15" t="str">
        <f t="shared" si="13"/>
        <v>Statia 110/20 kV Roman Vest, jud. NT</v>
      </c>
      <c r="E36" s="8">
        <f>'(7)F1 RV'!C36</f>
        <v>0</v>
      </c>
      <c r="F36" s="8">
        <f t="shared" ref="F36:F42" si="29">ROUND(E36/$F$6,2)</f>
        <v>0</v>
      </c>
      <c r="G36" s="8">
        <f t="shared" si="10"/>
        <v>0</v>
      </c>
      <c r="H36" s="8">
        <f t="shared" si="11"/>
        <v>0</v>
      </c>
      <c r="I36" s="8">
        <f t="shared" si="12"/>
        <v>0</v>
      </c>
      <c r="M36" s="54"/>
    </row>
    <row r="37" spans="1:18" ht="11.1" hidden="1" customHeight="1" x14ac:dyDescent="0.25">
      <c r="A37" s="39"/>
      <c r="B37" s="112" t="s">
        <v>736</v>
      </c>
      <c r="C37" s="38" t="s">
        <v>708</v>
      </c>
      <c r="D37" s="15" t="str">
        <f t="shared" si="13"/>
        <v>Statia 110/20 kV Delnita, jud. SV</v>
      </c>
      <c r="E37" s="8">
        <f>'(8)F1 Del'!C37</f>
        <v>0</v>
      </c>
      <c r="F37" s="8">
        <f t="shared" si="29"/>
        <v>0</v>
      </c>
      <c r="G37" s="8">
        <f t="shared" si="10"/>
        <v>0</v>
      </c>
      <c r="H37" s="8">
        <f t="shared" si="11"/>
        <v>0</v>
      </c>
      <c r="I37" s="8">
        <f t="shared" si="12"/>
        <v>0</v>
      </c>
      <c r="M37" s="54"/>
    </row>
    <row r="38" spans="1:18" ht="11.1" hidden="1" customHeight="1" x14ac:dyDescent="0.25">
      <c r="A38" s="39"/>
      <c r="B38" s="112" t="s">
        <v>737</v>
      </c>
      <c r="C38" s="38" t="s">
        <v>709</v>
      </c>
      <c r="D38" s="15" t="str">
        <f t="shared" si="13"/>
        <v>Statia 110/20 kV Iacobeni, jud. SV</v>
      </c>
      <c r="E38" s="8">
        <f>'(9)F1 Iac'!C35</f>
        <v>0</v>
      </c>
      <c r="F38" s="8">
        <f t="shared" si="29"/>
        <v>0</v>
      </c>
      <c r="G38" s="8">
        <f t="shared" si="10"/>
        <v>0</v>
      </c>
      <c r="H38" s="8">
        <f t="shared" si="11"/>
        <v>0</v>
      </c>
      <c r="I38" s="8">
        <f t="shared" si="12"/>
        <v>0</v>
      </c>
      <c r="M38" s="54"/>
    </row>
    <row r="39" spans="1:18" ht="11.1" hidden="1" customHeight="1" x14ac:dyDescent="0.25">
      <c r="A39" s="39"/>
      <c r="B39" s="112" t="s">
        <v>738</v>
      </c>
      <c r="C39" s="38" t="s">
        <v>710</v>
      </c>
      <c r="D39" s="15" t="str">
        <f t="shared" si="13"/>
        <v>Statia 110/6 kV Radiatoare, jud. SV</v>
      </c>
      <c r="E39" s="8">
        <f>'(10)F1 Rad'!C29</f>
        <v>0</v>
      </c>
      <c r="F39" s="8">
        <f t="shared" si="29"/>
        <v>0</v>
      </c>
      <c r="G39" s="8">
        <f t="shared" si="10"/>
        <v>0</v>
      </c>
      <c r="H39" s="8">
        <f t="shared" si="11"/>
        <v>0</v>
      </c>
      <c r="I39" s="8">
        <f t="shared" si="12"/>
        <v>0</v>
      </c>
      <c r="M39" s="54"/>
    </row>
    <row r="40" spans="1:18" ht="11.1" hidden="1" customHeight="1" x14ac:dyDescent="0.25">
      <c r="A40" s="39"/>
      <c r="B40" s="112" t="s">
        <v>739</v>
      </c>
      <c r="C40" s="38" t="s">
        <v>711</v>
      </c>
      <c r="D40" s="15" t="str">
        <f t="shared" si="13"/>
        <v>Statia 110/20/6 kV Tarnita, jud. SV</v>
      </c>
      <c r="E40" s="8">
        <f>'(11)F1 Tar'!C49</f>
        <v>0</v>
      </c>
      <c r="F40" s="8">
        <f t="shared" si="29"/>
        <v>0</v>
      </c>
      <c r="G40" s="8">
        <f t="shared" si="10"/>
        <v>0</v>
      </c>
      <c r="H40" s="8">
        <f t="shared" si="11"/>
        <v>0</v>
      </c>
      <c r="I40" s="8">
        <f t="shared" si="12"/>
        <v>0</v>
      </c>
      <c r="M40" s="54"/>
    </row>
    <row r="41" spans="1:18" ht="11.1" hidden="1" customHeight="1" x14ac:dyDescent="0.25">
      <c r="A41" s="39"/>
      <c r="B41" s="112" t="s">
        <v>740</v>
      </c>
      <c r="C41" s="38" t="s">
        <v>712</v>
      </c>
      <c r="D41" s="15" t="str">
        <f t="shared" si="13"/>
        <v>Statia 110/20 kV Mirauti, jud. SV</v>
      </c>
      <c r="E41" s="8">
        <f>'(12)F1 Mir'!C44</f>
        <v>0</v>
      </c>
      <c r="F41" s="8">
        <f t="shared" si="29"/>
        <v>0</v>
      </c>
      <c r="G41" s="8">
        <f t="shared" si="10"/>
        <v>0</v>
      </c>
      <c r="H41" s="8">
        <f t="shared" si="11"/>
        <v>0</v>
      </c>
      <c r="I41" s="8">
        <f t="shared" si="12"/>
        <v>0</v>
      </c>
      <c r="M41" s="54"/>
    </row>
    <row r="42" spans="1:18" ht="11.1" customHeight="1" x14ac:dyDescent="0.25">
      <c r="A42" s="39">
        <v>1.4</v>
      </c>
      <c r="B42" s="15"/>
      <c r="C42" s="15" t="s">
        <v>48</v>
      </c>
      <c r="D42" s="15"/>
      <c r="E42" s="8">
        <v>0</v>
      </c>
      <c r="F42" s="8">
        <f t="shared" si="29"/>
        <v>0</v>
      </c>
      <c r="G42" s="8">
        <f t="shared" si="10"/>
        <v>0</v>
      </c>
      <c r="H42" s="8">
        <f t="shared" si="11"/>
        <v>0</v>
      </c>
      <c r="I42" s="8">
        <f t="shared" si="12"/>
        <v>0</v>
      </c>
      <c r="M42" s="54"/>
    </row>
    <row r="43" spans="1:18" ht="11.1" customHeight="1" x14ac:dyDescent="0.25">
      <c r="A43" s="42"/>
      <c r="B43" s="25"/>
      <c r="C43" s="215" t="s">
        <v>49</v>
      </c>
      <c r="D43" s="216"/>
      <c r="E43" s="26">
        <f>E15+E16+E29+E42</f>
        <v>0</v>
      </c>
      <c r="F43" s="26">
        <f t="shared" ref="F43:I43" si="30">F15+F16+F29+F42</f>
        <v>0</v>
      </c>
      <c r="G43" s="26">
        <f t="shared" si="30"/>
        <v>0</v>
      </c>
      <c r="H43" s="26">
        <f t="shared" si="30"/>
        <v>0</v>
      </c>
      <c r="I43" s="26">
        <f t="shared" si="30"/>
        <v>0</v>
      </c>
      <c r="M43" s="54"/>
      <c r="N43" s="54"/>
      <c r="O43" s="54"/>
      <c r="P43" s="54"/>
      <c r="Q43" s="54"/>
      <c r="R43" s="54"/>
    </row>
    <row r="44" spans="1:18" ht="11.1" customHeight="1" x14ac:dyDescent="0.25">
      <c r="A44" s="39"/>
      <c r="B44" s="246" t="s">
        <v>50</v>
      </c>
      <c r="C44" s="247"/>
      <c r="D44" s="248"/>
      <c r="E44" s="9"/>
      <c r="F44" s="8"/>
      <c r="G44" s="8"/>
      <c r="H44" s="9"/>
      <c r="I44" s="8"/>
      <c r="M44" s="54"/>
    </row>
    <row r="45" spans="1:18" ht="11.1" customHeight="1" x14ac:dyDescent="0.25">
      <c r="A45" s="39">
        <v>2.1</v>
      </c>
      <c r="B45" s="18"/>
      <c r="C45" s="245" t="s">
        <v>51</v>
      </c>
      <c r="D45" s="245"/>
      <c r="E45" s="8">
        <v>0</v>
      </c>
      <c r="F45" s="8">
        <f t="shared" ref="F45" si="31">ROUND(E45/$F$6,2)</f>
        <v>0</v>
      </c>
      <c r="G45" s="8">
        <f t="shared" ref="G45" si="32">ROUND(E45*$K$3,2)</f>
        <v>0</v>
      </c>
      <c r="H45" s="8">
        <f t="shared" ref="H45" si="33">E45+G45</f>
        <v>0</v>
      </c>
      <c r="I45" s="8">
        <f t="shared" ref="I45" si="34">ROUND(G45/$F$6,2)+F45</f>
        <v>0</v>
      </c>
      <c r="M45" s="54"/>
    </row>
    <row r="46" spans="1:18" ht="11.1" customHeight="1" x14ac:dyDescent="0.25">
      <c r="A46" s="43"/>
      <c r="B46" s="57"/>
      <c r="C46" s="244" t="s">
        <v>52</v>
      </c>
      <c r="D46" s="244"/>
      <c r="E46" s="26">
        <f>E45</f>
        <v>0</v>
      </c>
      <c r="F46" s="26">
        <f t="shared" ref="F46:I46" si="35">F45</f>
        <v>0</v>
      </c>
      <c r="G46" s="26">
        <f t="shared" si="35"/>
        <v>0</v>
      </c>
      <c r="H46" s="26">
        <f t="shared" si="35"/>
        <v>0</v>
      </c>
      <c r="I46" s="26">
        <f t="shared" si="35"/>
        <v>0</v>
      </c>
      <c r="M46" s="54"/>
    </row>
    <row r="47" spans="1:18" ht="11.1" customHeight="1" x14ac:dyDescent="0.25">
      <c r="A47" s="39"/>
      <c r="B47" s="249" t="s">
        <v>53</v>
      </c>
      <c r="C47" s="249"/>
      <c r="D47" s="249"/>
      <c r="E47" s="9"/>
      <c r="F47" s="8"/>
      <c r="G47" s="9"/>
      <c r="H47" s="9"/>
      <c r="I47" s="8"/>
      <c r="M47" s="54"/>
    </row>
    <row r="48" spans="1:18" ht="11.1" customHeight="1" x14ac:dyDescent="0.25">
      <c r="A48" s="44" t="s">
        <v>54</v>
      </c>
      <c r="B48" s="55"/>
      <c r="C48" s="250" t="s">
        <v>55</v>
      </c>
      <c r="D48" s="250"/>
      <c r="E48" s="27">
        <f>SUM(E49:E51)</f>
        <v>0</v>
      </c>
      <c r="F48" s="27">
        <f t="shared" ref="F48:I48" si="36">SUM(F49:F51)</f>
        <v>0</v>
      </c>
      <c r="G48" s="27">
        <f t="shared" si="36"/>
        <v>0</v>
      </c>
      <c r="H48" s="27">
        <f t="shared" si="36"/>
        <v>0</v>
      </c>
      <c r="I48" s="27">
        <f t="shared" si="36"/>
        <v>0</v>
      </c>
      <c r="M48" s="54"/>
    </row>
    <row r="49" spans="1:13" ht="11.1" customHeight="1" x14ac:dyDescent="0.25">
      <c r="A49" s="39"/>
      <c r="B49" s="113" t="s">
        <v>56</v>
      </c>
      <c r="C49" s="225" t="s">
        <v>57</v>
      </c>
      <c r="D49" s="225"/>
      <c r="E49" s="23">
        <f>'DG Bel'!E31+'DG Tab'!E31+'DG Trif'!E31+'DG IMR'!E31+'DG PAL'!E31+'DG PNG'!E31+'DG RV'!E31+'DG Del'!E31+'DG Iac'!E31+'DG Rad'!E31+'DG Tar'!E31+'DG Mir'!E31</f>
        <v>0</v>
      </c>
      <c r="F49" s="8">
        <f t="shared" ref="F49:F54" si="37">ROUND(E49/$F$6,2)</f>
        <v>0</v>
      </c>
      <c r="G49" s="8">
        <f t="shared" ref="G49:G54" si="38">ROUND(E49*$K$3,2)</f>
        <v>0</v>
      </c>
      <c r="H49" s="8">
        <f t="shared" ref="H49:H54" si="39">E49+G49</f>
        <v>0</v>
      </c>
      <c r="I49" s="8">
        <f t="shared" ref="I49:I54" si="40">ROUND(G49/$F$6,2)+F49</f>
        <v>0</v>
      </c>
      <c r="M49" s="54"/>
    </row>
    <row r="50" spans="1:13" ht="11.1" customHeight="1" x14ac:dyDescent="0.25">
      <c r="A50" s="39"/>
      <c r="B50" s="113" t="s">
        <v>58</v>
      </c>
      <c r="C50" s="225" t="s">
        <v>59</v>
      </c>
      <c r="D50" s="225"/>
      <c r="E50" s="23">
        <f>'DG Bel'!E32+'DG Tab'!E32+'DG Trif'!E32+'DG IMR'!E32+'DG PAL'!E32+'DG PNG'!E32+'DG RV'!E32+'DG Del'!E32+'DG Iac'!E32+'DG Rad'!E32+'DG Tar'!E32+'DG Mir'!E32</f>
        <v>0</v>
      </c>
      <c r="F50" s="8">
        <f t="shared" si="37"/>
        <v>0</v>
      </c>
      <c r="G50" s="8">
        <f t="shared" si="38"/>
        <v>0</v>
      </c>
      <c r="H50" s="8">
        <f t="shared" si="39"/>
        <v>0</v>
      </c>
      <c r="I50" s="8">
        <f t="shared" si="40"/>
        <v>0</v>
      </c>
      <c r="M50" s="54"/>
    </row>
    <row r="51" spans="1:13" ht="11.1" customHeight="1" x14ac:dyDescent="0.25">
      <c r="A51" s="39"/>
      <c r="B51" s="113" t="s">
        <v>60</v>
      </c>
      <c r="C51" s="226" t="s">
        <v>61</v>
      </c>
      <c r="D51" s="226"/>
      <c r="E51" s="23">
        <f>'DG Bel'!E33+'DG Tab'!E33+'DG Trif'!E33+'DG IMR'!E33+'DG PAL'!E33+'DG PNG'!E33+'DG RV'!E33+'DG Del'!E33+'DG Iac'!E33+'DG Rad'!E33+'DG Tar'!E33+'DG Mir'!E33</f>
        <v>0</v>
      </c>
      <c r="F51" s="8">
        <f t="shared" si="37"/>
        <v>0</v>
      </c>
      <c r="G51" s="8">
        <f t="shared" si="38"/>
        <v>0</v>
      </c>
      <c r="H51" s="8">
        <f t="shared" si="39"/>
        <v>0</v>
      </c>
      <c r="I51" s="8">
        <f t="shared" si="40"/>
        <v>0</v>
      </c>
      <c r="M51" s="54"/>
    </row>
    <row r="52" spans="1:13" ht="22.2" customHeight="1" x14ac:dyDescent="0.25">
      <c r="A52" s="39" t="s">
        <v>62</v>
      </c>
      <c r="B52" s="15"/>
      <c r="C52" s="260" t="s">
        <v>63</v>
      </c>
      <c r="D52" s="260"/>
      <c r="E52" s="23">
        <f>'DG Bel'!E34+'DG Tab'!E34+'DG Trif'!E34+'DG IMR'!E34+'DG PAL'!E34+'DG PNG'!E34+'DG RV'!E34+'DG Del'!E34+'DG Iac'!E34+'DG Rad'!E34+'DG Tar'!E34+'DG Mir'!E34</f>
        <v>0</v>
      </c>
      <c r="F52" s="8">
        <f t="shared" si="37"/>
        <v>0</v>
      </c>
      <c r="G52" s="8">
        <f t="shared" si="38"/>
        <v>0</v>
      </c>
      <c r="H52" s="8">
        <f t="shared" si="39"/>
        <v>0</v>
      </c>
      <c r="I52" s="8">
        <f t="shared" si="40"/>
        <v>0</v>
      </c>
      <c r="J52" s="7"/>
      <c r="M52" s="54"/>
    </row>
    <row r="53" spans="1:13" ht="11.1" customHeight="1" x14ac:dyDescent="0.25">
      <c r="A53" s="39" t="s">
        <v>64</v>
      </c>
      <c r="B53" s="15"/>
      <c r="C53" s="227" t="s">
        <v>65</v>
      </c>
      <c r="D53" s="228"/>
      <c r="E53" s="23">
        <f>'DG Bel'!E35+'DG Tab'!E35+'DG Trif'!E35+'DG IMR'!E35+'DG PAL'!E35+'DG PNG'!E35+'DG RV'!E35+'DG Del'!E35+'DG Iac'!E35+'DG Rad'!E35+'DG Tar'!E35+'DG Mir'!E35</f>
        <v>0</v>
      </c>
      <c r="F53" s="8">
        <f t="shared" si="37"/>
        <v>0</v>
      </c>
      <c r="G53" s="8">
        <f t="shared" si="38"/>
        <v>0</v>
      </c>
      <c r="H53" s="8">
        <f t="shared" si="39"/>
        <v>0</v>
      </c>
      <c r="I53" s="8">
        <f t="shared" si="40"/>
        <v>0</v>
      </c>
      <c r="J53" s="7"/>
      <c r="M53" s="54"/>
    </row>
    <row r="54" spans="1:13" x14ac:dyDescent="0.25">
      <c r="A54" s="39" t="s">
        <v>66</v>
      </c>
      <c r="B54" s="15"/>
      <c r="C54" s="260" t="s">
        <v>67</v>
      </c>
      <c r="D54" s="260"/>
      <c r="E54" s="23">
        <f>'DG Bel'!E36+'DG Tab'!E36+'DG Trif'!E36+'DG IMR'!E36+'DG PAL'!E36+'DG PNG'!E36+'DG RV'!E36+'DG Del'!E36+'DG Iac'!E36+'DG Rad'!E36+'DG Tar'!E36+'DG Mir'!E36</f>
        <v>0</v>
      </c>
      <c r="F54" s="8">
        <f t="shared" si="37"/>
        <v>0</v>
      </c>
      <c r="G54" s="8">
        <f t="shared" si="38"/>
        <v>0</v>
      </c>
      <c r="H54" s="8">
        <f t="shared" si="39"/>
        <v>0</v>
      </c>
      <c r="I54" s="8">
        <f t="shared" si="40"/>
        <v>0</v>
      </c>
      <c r="J54" s="7"/>
      <c r="M54" s="54"/>
    </row>
    <row r="55" spans="1:13" ht="11.1" customHeight="1" x14ac:dyDescent="0.25">
      <c r="A55" s="51" t="s">
        <v>68</v>
      </c>
      <c r="B55" s="212" t="s">
        <v>69</v>
      </c>
      <c r="C55" s="212"/>
      <c r="D55" s="212"/>
      <c r="E55" s="36">
        <f>SUM(E56:E61)</f>
        <v>0</v>
      </c>
      <c r="F55" s="36">
        <f t="shared" ref="F55:I55" si="41">SUM(F56:F61)</f>
        <v>0</v>
      </c>
      <c r="G55" s="36">
        <f t="shared" si="41"/>
        <v>0</v>
      </c>
      <c r="H55" s="36">
        <f t="shared" si="41"/>
        <v>0</v>
      </c>
      <c r="I55" s="36">
        <f t="shared" si="41"/>
        <v>0</v>
      </c>
      <c r="J55" s="7"/>
      <c r="M55" s="54"/>
    </row>
    <row r="56" spans="1:13" ht="11.1" customHeight="1" x14ac:dyDescent="0.25">
      <c r="A56" s="50"/>
      <c r="B56" s="261" t="s">
        <v>70</v>
      </c>
      <c r="C56" s="262"/>
      <c r="D56" s="263"/>
      <c r="E56" s="33">
        <v>0</v>
      </c>
      <c r="F56" s="8">
        <f t="shared" ref="F56:F62" si="42">ROUND(E56/$F$6,2)</f>
        <v>0</v>
      </c>
      <c r="G56" s="8">
        <f t="shared" ref="G56:G61" si="43">ROUND(E56*$K$3,2)</f>
        <v>0</v>
      </c>
      <c r="H56" s="8">
        <f t="shared" ref="H56:H62" si="44">E56+G56</f>
        <v>0</v>
      </c>
      <c r="I56" s="8">
        <f t="shared" ref="I56:I62" si="45">ROUND(G56/$F$6,2)+F56</f>
        <v>0</v>
      </c>
      <c r="J56" s="7"/>
      <c r="M56" s="54"/>
    </row>
    <row r="57" spans="1:13" ht="11.1" customHeight="1" x14ac:dyDescent="0.25">
      <c r="A57" s="50"/>
      <c r="B57" s="213" t="s">
        <v>71</v>
      </c>
      <c r="C57" s="213"/>
      <c r="D57" s="213"/>
      <c r="E57" s="33">
        <v>0</v>
      </c>
      <c r="F57" s="8">
        <f t="shared" si="42"/>
        <v>0</v>
      </c>
      <c r="G57" s="8">
        <f t="shared" si="43"/>
        <v>0</v>
      </c>
      <c r="H57" s="8">
        <f t="shared" si="44"/>
        <v>0</v>
      </c>
      <c r="I57" s="8">
        <f t="shared" si="45"/>
        <v>0</v>
      </c>
      <c r="J57" s="7"/>
      <c r="M57" s="54"/>
    </row>
    <row r="58" spans="1:13" ht="21.6" customHeight="1" x14ac:dyDescent="0.25">
      <c r="A58" s="50"/>
      <c r="B58" s="213" t="s">
        <v>72</v>
      </c>
      <c r="C58" s="213"/>
      <c r="D58" s="213"/>
      <c r="E58" s="23">
        <f>'DG Bel'!E40+'DG Tab'!E40+'DG Trif'!E40+'DG IMR'!E40+'DG PAL'!E40+'DG PNG'!E40+'DG RV'!E40+'DG Del'!E40+'DG Iac'!E40+'DG Rad'!E40+'DG Tar'!E40+'DG Mir'!E40</f>
        <v>0</v>
      </c>
      <c r="F58" s="8">
        <f t="shared" si="42"/>
        <v>0</v>
      </c>
      <c r="G58" s="8">
        <f t="shared" si="43"/>
        <v>0</v>
      </c>
      <c r="H58" s="8">
        <f t="shared" si="44"/>
        <v>0</v>
      </c>
      <c r="I58" s="8">
        <f t="shared" si="45"/>
        <v>0</v>
      </c>
      <c r="J58" s="7"/>
      <c r="M58" s="54"/>
    </row>
    <row r="59" spans="1:13" ht="26.4" customHeight="1" x14ac:dyDescent="0.25">
      <c r="A59" s="50"/>
      <c r="B59" s="213" t="s">
        <v>73</v>
      </c>
      <c r="C59" s="213"/>
      <c r="D59" s="213"/>
      <c r="E59" s="23">
        <f>'DG Bel'!E41+'DG Tab'!E41+'DG Trif'!E41+'DG IMR'!E41+'DG PAL'!E41+'DG PNG'!E41+'DG RV'!E41+'DG Del'!E41+'DG Iac'!E41+'DG Rad'!E41+'DG Tar'!E41+'DG Mir'!E41</f>
        <v>0</v>
      </c>
      <c r="F59" s="8">
        <f t="shared" si="42"/>
        <v>0</v>
      </c>
      <c r="G59" s="8">
        <f t="shared" si="43"/>
        <v>0</v>
      </c>
      <c r="H59" s="8">
        <f t="shared" si="44"/>
        <v>0</v>
      </c>
      <c r="I59" s="8">
        <f t="shared" si="45"/>
        <v>0</v>
      </c>
      <c r="J59" s="7"/>
      <c r="M59" s="54"/>
    </row>
    <row r="60" spans="1:13" ht="21.6" customHeight="1" x14ac:dyDescent="0.25">
      <c r="A60" s="50"/>
      <c r="B60" s="213" t="s">
        <v>74</v>
      </c>
      <c r="C60" s="213"/>
      <c r="D60" s="213"/>
      <c r="E60" s="23">
        <f>'DG Bel'!E42+'DG Tab'!E42+'DG Trif'!E42+'DG IMR'!E42+'DG PAL'!E42+'DG PNG'!E42+'DG RV'!E42+'DG Del'!E42+'DG Iac'!E42+'DG Rad'!E42+'DG Tar'!E42+'DG Mir'!E42</f>
        <v>0</v>
      </c>
      <c r="F60" s="8">
        <f t="shared" si="42"/>
        <v>0</v>
      </c>
      <c r="G60" s="8">
        <f t="shared" si="43"/>
        <v>0</v>
      </c>
      <c r="H60" s="8">
        <f t="shared" si="44"/>
        <v>0</v>
      </c>
      <c r="I60" s="8">
        <f t="shared" si="45"/>
        <v>0</v>
      </c>
      <c r="J60" s="7"/>
      <c r="M60" s="54"/>
    </row>
    <row r="61" spans="1:13" ht="11.1" customHeight="1" x14ac:dyDescent="0.25">
      <c r="A61" s="50"/>
      <c r="B61" s="213" t="s">
        <v>75</v>
      </c>
      <c r="C61" s="213"/>
      <c r="D61" s="213"/>
      <c r="E61" s="23">
        <f>'DG Bel'!E43+'DG Tab'!E43+'DG Trif'!E43+'DG IMR'!E43+'DG PAL'!E43+'DG PNG'!E43+'DG RV'!E43+'DG Del'!E43+'DG Iac'!E43+'DG Rad'!E43+'DG Tar'!E43+'DG Mir'!E43</f>
        <v>0</v>
      </c>
      <c r="F61" s="8">
        <f t="shared" si="42"/>
        <v>0</v>
      </c>
      <c r="G61" s="8">
        <f t="shared" si="43"/>
        <v>0</v>
      </c>
      <c r="H61" s="8">
        <f t="shared" si="44"/>
        <v>0</v>
      </c>
      <c r="I61" s="8">
        <f t="shared" si="45"/>
        <v>0</v>
      </c>
      <c r="J61" s="7"/>
      <c r="K61" s="54"/>
      <c r="M61" s="54"/>
    </row>
    <row r="62" spans="1:13" ht="11.1" customHeight="1" x14ac:dyDescent="0.25">
      <c r="A62" s="50" t="s">
        <v>76</v>
      </c>
      <c r="B62" s="208" t="s">
        <v>77</v>
      </c>
      <c r="C62" s="208"/>
      <c r="D62" s="208"/>
      <c r="E62" s="23">
        <f>'DG Bel'!E44+'DG Tab'!E44+'DG Trif'!E44+'DG IMR'!E44+'DG PAL'!E44+'DG PNG'!E44+'DG RV'!E44+'DG Del'!E44+'DG Iac'!E44+'DG Rad'!E44+'DG Tar'!E44+'DG Mir'!E44</f>
        <v>0</v>
      </c>
      <c r="F62" s="8">
        <f t="shared" si="42"/>
        <v>0</v>
      </c>
      <c r="G62" s="8">
        <v>0</v>
      </c>
      <c r="H62" s="8">
        <f t="shared" si="44"/>
        <v>0</v>
      </c>
      <c r="I62" s="8">
        <f t="shared" si="45"/>
        <v>0</v>
      </c>
      <c r="J62" s="7"/>
      <c r="K62" s="54"/>
      <c r="M62" s="54"/>
    </row>
    <row r="63" spans="1:13" ht="11.1" customHeight="1" x14ac:dyDescent="0.25">
      <c r="A63" s="51" t="s">
        <v>78</v>
      </c>
      <c r="B63" s="212" t="s">
        <v>79</v>
      </c>
      <c r="C63" s="212"/>
      <c r="D63" s="212"/>
      <c r="E63" s="36">
        <f>E64+E67</f>
        <v>0</v>
      </c>
      <c r="F63" s="36">
        <f>F64+F67</f>
        <v>0</v>
      </c>
      <c r="G63" s="36">
        <f>G64+G67</f>
        <v>0</v>
      </c>
      <c r="H63" s="36">
        <f>H64+H67</f>
        <v>0</v>
      </c>
      <c r="I63" s="36">
        <f>I64+I67</f>
        <v>0</v>
      </c>
      <c r="J63" s="7"/>
      <c r="M63" s="54"/>
    </row>
    <row r="64" spans="1:13" s="32" customFormat="1" ht="11.1" customHeight="1" x14ac:dyDescent="0.25">
      <c r="A64" s="116"/>
      <c r="B64" s="229" t="s">
        <v>80</v>
      </c>
      <c r="C64" s="230"/>
      <c r="D64" s="230"/>
      <c r="E64" s="36">
        <f>E65+E66</f>
        <v>0</v>
      </c>
      <c r="F64" s="36">
        <f t="shared" ref="F64:I64" si="46">F65+F66</f>
        <v>0</v>
      </c>
      <c r="G64" s="36">
        <f t="shared" si="46"/>
        <v>0</v>
      </c>
      <c r="H64" s="36">
        <f t="shared" si="46"/>
        <v>0</v>
      </c>
      <c r="I64" s="36">
        <f t="shared" si="46"/>
        <v>0</v>
      </c>
      <c r="J64" s="61"/>
      <c r="M64" s="54"/>
    </row>
    <row r="65" spans="1:18" s="32" customFormat="1" ht="11.1" customHeight="1" x14ac:dyDescent="0.25">
      <c r="A65" s="116"/>
      <c r="B65" s="107"/>
      <c r="C65" s="213" t="s">
        <v>81</v>
      </c>
      <c r="D65" s="214"/>
      <c r="E65" s="23">
        <f>'DG Bel'!E47+'DG Tab'!E47+'DG Trif'!E47+'DG IMR'!E47+'DG PAL'!E47+'DG PNG'!E47+'DG RV'!E47+'DG Del'!E47+'DG Iac'!E47+'DG Rad'!E47+'DG Tar'!E47+'DG Mir'!E47</f>
        <v>0</v>
      </c>
      <c r="F65" s="8">
        <f t="shared" ref="F65:F66" si="47">ROUND(E65/$F$6,2)</f>
        <v>0</v>
      </c>
      <c r="G65" s="8">
        <v>0</v>
      </c>
      <c r="H65" s="8">
        <f t="shared" ref="H65:H66" si="48">E65+G65</f>
        <v>0</v>
      </c>
      <c r="I65" s="8">
        <f t="shared" ref="I65:I66" si="49">ROUND(G65/$F$6,2)+F65</f>
        <v>0</v>
      </c>
      <c r="J65" s="61"/>
      <c r="M65" s="54"/>
    </row>
    <row r="66" spans="1:18" s="32" customFormat="1" ht="11.1" customHeight="1" x14ac:dyDescent="0.25">
      <c r="A66" s="116"/>
      <c r="B66" s="134"/>
      <c r="C66" s="213" t="s">
        <v>82</v>
      </c>
      <c r="D66" s="214"/>
      <c r="E66" s="23">
        <f>'DG Bel'!E48+'DG Tab'!E48+'DG Trif'!E48+'DG IMR'!E48+'DG PAL'!E48+'DG PNG'!E48+'DG RV'!E48+'DG Del'!E48+'DG Iac'!E48+'DG Rad'!E48+'DG Tar'!E48+'DG Mir'!E48</f>
        <v>0</v>
      </c>
      <c r="F66" s="8">
        <f t="shared" si="47"/>
        <v>0</v>
      </c>
      <c r="G66" s="8">
        <f t="shared" ref="G66" si="50">ROUND(E66*$K$3,2)</f>
        <v>0</v>
      </c>
      <c r="H66" s="8">
        <f t="shared" si="48"/>
        <v>0</v>
      </c>
      <c r="I66" s="8">
        <f t="shared" si="49"/>
        <v>0</v>
      </c>
      <c r="J66" s="61"/>
      <c r="M66" s="54"/>
    </row>
    <row r="67" spans="1:18" ht="11.1" customHeight="1" x14ac:dyDescent="0.25">
      <c r="A67" s="50"/>
      <c r="B67" s="213" t="s">
        <v>83</v>
      </c>
      <c r="C67" s="214"/>
      <c r="D67" s="214"/>
      <c r="E67" s="23">
        <f>'DG Bel'!E49+'DG Tab'!E49+'DG Trif'!E49+'DG IMR'!E49+'DG PAL'!E49+'DG PNG'!E49+'DG RV'!E49+'DG Del'!E49+'DG Iac'!E49+'DG Rad'!E49+'DG Tar'!E49+'DG Mir'!E49</f>
        <v>0</v>
      </c>
      <c r="F67" s="8">
        <f t="shared" ref="F67" si="51">ROUND(E67/$F$6,2)</f>
        <v>0</v>
      </c>
      <c r="G67" s="8">
        <f t="shared" ref="G67" si="52">ROUND(E67*$K$3,2)</f>
        <v>0</v>
      </c>
      <c r="H67" s="8">
        <f t="shared" ref="H67" si="53">E67+G67</f>
        <v>0</v>
      </c>
      <c r="I67" s="8">
        <f t="shared" ref="I67" si="54">ROUND(G67/$F$6,2)+F67</f>
        <v>0</v>
      </c>
      <c r="J67" s="7"/>
      <c r="M67" s="54"/>
    </row>
    <row r="68" spans="1:18" ht="11.1" customHeight="1" x14ac:dyDescent="0.25">
      <c r="A68" s="51" t="s">
        <v>84</v>
      </c>
      <c r="B68" s="212" t="s">
        <v>85</v>
      </c>
      <c r="C68" s="212"/>
      <c r="D68" s="212"/>
      <c r="E68" s="36">
        <f>E69+E72</f>
        <v>0</v>
      </c>
      <c r="F68" s="36">
        <f t="shared" ref="F68:I68" si="55">F69+F72</f>
        <v>0</v>
      </c>
      <c r="G68" s="36">
        <f t="shared" si="55"/>
        <v>0</v>
      </c>
      <c r="H68" s="36">
        <f t="shared" si="55"/>
        <v>0</v>
      </c>
      <c r="I68" s="36">
        <f t="shared" si="55"/>
        <v>0</v>
      </c>
      <c r="J68" s="7"/>
      <c r="M68" s="54"/>
    </row>
    <row r="69" spans="1:18" ht="11.1" customHeight="1" x14ac:dyDescent="0.25">
      <c r="A69" s="51"/>
      <c r="B69" s="211" t="s">
        <v>86</v>
      </c>
      <c r="C69" s="212"/>
      <c r="D69" s="212"/>
      <c r="E69" s="36">
        <f>E71+E70</f>
        <v>0</v>
      </c>
      <c r="F69" s="36">
        <f t="shared" ref="F69:I69" si="56">F71+F70</f>
        <v>0</v>
      </c>
      <c r="G69" s="36">
        <f t="shared" si="56"/>
        <v>0</v>
      </c>
      <c r="H69" s="36">
        <f t="shared" si="56"/>
        <v>0</v>
      </c>
      <c r="I69" s="36">
        <f t="shared" si="56"/>
        <v>0</v>
      </c>
      <c r="J69" s="7"/>
      <c r="M69" s="54"/>
    </row>
    <row r="70" spans="1:18" ht="11.1" customHeight="1" x14ac:dyDescent="0.25">
      <c r="A70" s="50"/>
      <c r="B70" s="207" t="s">
        <v>87</v>
      </c>
      <c r="C70" s="208"/>
      <c r="D70" s="208"/>
      <c r="E70" s="23">
        <f>'DG Bel'!E52+'DG Tab'!E52+'DG Trif'!E52+'DG IMR'!E52+'DG PAL'!E52+'DG PNG'!E52+'DG RV'!E52+'DG Del'!E52+'DG Iac'!E52+'DG Rad'!E52+'DG Tar'!E52+'DG Mir'!E52</f>
        <v>0</v>
      </c>
      <c r="F70" s="8">
        <f t="shared" ref="F70:F72" si="57">ROUND(E70/$F$6,2)</f>
        <v>0</v>
      </c>
      <c r="G70" s="8">
        <f t="shared" ref="G70:G71" si="58">ROUND(E70*$K$3,2)</f>
        <v>0</v>
      </c>
      <c r="H70" s="8">
        <f t="shared" ref="H70:H72" si="59">E70+G70</f>
        <v>0</v>
      </c>
      <c r="I70" s="8">
        <f t="shared" ref="I70:I72" si="60">ROUND(G70/$F$6,2)+F70</f>
        <v>0</v>
      </c>
      <c r="J70" s="7"/>
      <c r="M70" s="54"/>
    </row>
    <row r="71" spans="1:18" ht="22.5" customHeight="1" x14ac:dyDescent="0.25">
      <c r="A71" s="50"/>
      <c r="B71" s="207" t="s">
        <v>88</v>
      </c>
      <c r="C71" s="208"/>
      <c r="D71" s="208"/>
      <c r="E71" s="23">
        <f>'DG Bel'!E53+'DG Tab'!E53+'DG Trif'!E53+'DG IMR'!E53+'DG PAL'!E53+'DG PNG'!E53+'DG RV'!E53+'DG Del'!E53+'DG Iac'!E53+'DG Rad'!E53+'DG Tar'!E53+'DG Mir'!E53</f>
        <v>0</v>
      </c>
      <c r="F71" s="8">
        <f t="shared" si="57"/>
        <v>0</v>
      </c>
      <c r="G71" s="8">
        <f t="shared" si="58"/>
        <v>0</v>
      </c>
      <c r="H71" s="8">
        <f t="shared" si="59"/>
        <v>0</v>
      </c>
      <c r="I71" s="8">
        <f t="shared" si="60"/>
        <v>0</v>
      </c>
      <c r="J71" s="7"/>
      <c r="M71" s="54"/>
    </row>
    <row r="72" spans="1:18" ht="11.1" customHeight="1" x14ac:dyDescent="0.25">
      <c r="A72" s="50"/>
      <c r="B72" s="207" t="s">
        <v>89</v>
      </c>
      <c r="C72" s="208"/>
      <c r="D72" s="208"/>
      <c r="E72" s="23">
        <f>'DG Bel'!E54+'DG Tab'!E54+'DG Trif'!E54+'DG IMR'!E54+'DG PAL'!E54+'DG PNG'!E54+'DG RV'!E54+'DG Del'!E54+'DG Iac'!E54+'DG Rad'!E54+'DG Tar'!E54+'DG Mir'!E54</f>
        <v>0</v>
      </c>
      <c r="F72" s="8">
        <f t="shared" si="57"/>
        <v>0</v>
      </c>
      <c r="G72" s="8">
        <v>0</v>
      </c>
      <c r="H72" s="8">
        <f t="shared" si="59"/>
        <v>0</v>
      </c>
      <c r="I72" s="8">
        <f t="shared" si="60"/>
        <v>0</v>
      </c>
      <c r="J72" s="7"/>
      <c r="M72" s="54"/>
    </row>
    <row r="73" spans="1:18" ht="11.1" customHeight="1" x14ac:dyDescent="0.25">
      <c r="A73" s="52"/>
      <c r="B73" s="25"/>
      <c r="C73" s="215" t="s">
        <v>90</v>
      </c>
      <c r="D73" s="216"/>
      <c r="E73" s="37">
        <f>E68+E63+E62+E55+E54+E53+E52+E48</f>
        <v>0</v>
      </c>
      <c r="F73" s="37">
        <f>F68+F63+F62+F55+F54+F53+F52+F48</f>
        <v>0</v>
      </c>
      <c r="G73" s="37">
        <f>G68+G63+G62+G55+G54+G53+G52+G48</f>
        <v>0</v>
      </c>
      <c r="H73" s="37">
        <f>H68+H63+H62+H55+H54+H53+H52+H48</f>
        <v>0</v>
      </c>
      <c r="I73" s="37">
        <f>I68+I63+I62+I55+I54+I53+I52+I48</f>
        <v>0</v>
      </c>
      <c r="J73" s="7"/>
      <c r="M73" s="54"/>
      <c r="N73" s="54"/>
      <c r="O73" s="54"/>
      <c r="P73" s="54"/>
      <c r="Q73" s="54"/>
      <c r="R73" s="54"/>
    </row>
    <row r="74" spans="1:18" ht="11.1" customHeight="1" x14ac:dyDescent="0.25">
      <c r="A74" s="40"/>
      <c r="B74" s="18" t="s">
        <v>91</v>
      </c>
      <c r="C74" s="15"/>
      <c r="D74" s="15"/>
      <c r="E74" s="21"/>
      <c r="F74" s="33"/>
      <c r="G74" s="21"/>
      <c r="H74" s="21"/>
      <c r="I74" s="21"/>
      <c r="M74" s="54"/>
    </row>
    <row r="75" spans="1:18" ht="12" customHeight="1" x14ac:dyDescent="0.25">
      <c r="A75" s="46" t="s">
        <v>92</v>
      </c>
      <c r="B75" s="28"/>
      <c r="C75" s="219" t="s">
        <v>93</v>
      </c>
      <c r="D75" s="220"/>
      <c r="E75" s="36">
        <f>SUM(E76:E87)</f>
        <v>0</v>
      </c>
      <c r="F75" s="36">
        <f>SUM(F76:F87)</f>
        <v>0</v>
      </c>
      <c r="G75" s="36">
        <f>SUM(G76:G87)</f>
        <v>0</v>
      </c>
      <c r="H75" s="36">
        <f>SUM(H76:H87)</f>
        <v>0</v>
      </c>
      <c r="I75" s="36">
        <f>SUM(I76:I87)</f>
        <v>0</v>
      </c>
      <c r="M75" s="54"/>
      <c r="N75" s="54"/>
      <c r="O75" s="54"/>
      <c r="P75" s="54"/>
      <c r="Q75" s="54"/>
      <c r="R75" s="54"/>
    </row>
    <row r="76" spans="1:18" hidden="1" x14ac:dyDescent="0.25">
      <c r="A76" s="40"/>
      <c r="B76" s="107" t="s">
        <v>94</v>
      </c>
      <c r="C76" s="38" t="s">
        <v>26</v>
      </c>
      <c r="D76" s="56" t="s">
        <v>699</v>
      </c>
      <c r="E76" s="8">
        <f>'(1)F1 Bel'!C51</f>
        <v>0</v>
      </c>
      <c r="F76" s="8">
        <f t="shared" ref="F76:F87" si="61">ROUND(E76/$F$6,2)</f>
        <v>0</v>
      </c>
      <c r="G76" s="8">
        <f t="shared" ref="G76:G87" si="62">ROUND(E76*$K$3,2)</f>
        <v>0</v>
      </c>
      <c r="H76" s="8">
        <f t="shared" ref="H76:H87" si="63">E76+G76</f>
        <v>0</v>
      </c>
      <c r="I76" s="8">
        <f t="shared" ref="I76:I87" si="64">ROUND(G76/$F$6,2)+F76</f>
        <v>0</v>
      </c>
      <c r="M76" s="54"/>
    </row>
    <row r="77" spans="1:18" hidden="1" x14ac:dyDescent="0.25">
      <c r="A77" s="40"/>
      <c r="B77" s="107" t="s">
        <v>95</v>
      </c>
      <c r="C77" s="38" t="s">
        <v>28</v>
      </c>
      <c r="D77" s="56" t="s">
        <v>700</v>
      </c>
      <c r="E77" s="8">
        <f>'(2)F1 Tab'!C40</f>
        <v>0</v>
      </c>
      <c r="F77" s="8">
        <f t="shared" si="61"/>
        <v>0</v>
      </c>
      <c r="G77" s="8">
        <f t="shared" si="62"/>
        <v>0</v>
      </c>
      <c r="H77" s="8">
        <f t="shared" si="63"/>
        <v>0</v>
      </c>
      <c r="I77" s="8">
        <f t="shared" si="64"/>
        <v>0</v>
      </c>
      <c r="M77" s="54"/>
    </row>
    <row r="78" spans="1:18" ht="10.199999999999999" hidden="1" customHeight="1" x14ac:dyDescent="0.25">
      <c r="A78" s="40"/>
      <c r="B78" s="107" t="s">
        <v>96</v>
      </c>
      <c r="C78" s="38" t="s">
        <v>30</v>
      </c>
      <c r="D78" s="56" t="s">
        <v>701</v>
      </c>
      <c r="E78" s="8">
        <f>'(3)F1 Trif'!C49</f>
        <v>0</v>
      </c>
      <c r="F78" s="8">
        <f t="shared" si="61"/>
        <v>0</v>
      </c>
      <c r="G78" s="8">
        <f t="shared" si="62"/>
        <v>0</v>
      </c>
      <c r="H78" s="8">
        <f t="shared" si="63"/>
        <v>0</v>
      </c>
      <c r="I78" s="8">
        <f t="shared" si="64"/>
        <v>0</v>
      </c>
      <c r="M78" s="54"/>
    </row>
    <row r="79" spans="1:18" ht="10.199999999999999" customHeight="1" x14ac:dyDescent="0.25">
      <c r="A79" s="40"/>
      <c r="B79" s="107" t="s">
        <v>97</v>
      </c>
      <c r="C79" s="38" t="s">
        <v>32</v>
      </c>
      <c r="D79" s="56" t="s">
        <v>702</v>
      </c>
      <c r="E79" s="8">
        <f>'(4)F1 IMR'!C53</f>
        <v>0</v>
      </c>
      <c r="F79" s="8">
        <f t="shared" si="61"/>
        <v>0</v>
      </c>
      <c r="G79" s="8">
        <f t="shared" si="62"/>
        <v>0</v>
      </c>
      <c r="H79" s="8">
        <f t="shared" si="63"/>
        <v>0</v>
      </c>
      <c r="I79" s="8">
        <f t="shared" si="64"/>
        <v>0</v>
      </c>
      <c r="M79" s="54"/>
    </row>
    <row r="80" spans="1:18" ht="10.199999999999999" customHeight="1" x14ac:dyDescent="0.25">
      <c r="A80" s="40"/>
      <c r="B80" s="107" t="s">
        <v>98</v>
      </c>
      <c r="C80" s="38" t="s">
        <v>34</v>
      </c>
      <c r="D80" s="56" t="s">
        <v>713</v>
      </c>
      <c r="E80" s="8">
        <f>'(5)F1 PAL'!C49</f>
        <v>0</v>
      </c>
      <c r="F80" s="8">
        <f t="shared" si="61"/>
        <v>0</v>
      </c>
      <c r="G80" s="8">
        <f t="shared" si="62"/>
        <v>0</v>
      </c>
      <c r="H80" s="8">
        <f t="shared" si="63"/>
        <v>0</v>
      </c>
      <c r="I80" s="8">
        <f t="shared" si="64"/>
        <v>0</v>
      </c>
      <c r="M80" s="54"/>
    </row>
    <row r="81" spans="1:18" ht="10.199999999999999" customHeight="1" x14ac:dyDescent="0.25">
      <c r="A81" s="40"/>
      <c r="B81" s="107" t="s">
        <v>99</v>
      </c>
      <c r="C81" s="38" t="s">
        <v>36</v>
      </c>
      <c r="D81" s="56" t="s">
        <v>714</v>
      </c>
      <c r="E81" s="8">
        <f>'(6)F1 PNG'!C52</f>
        <v>0</v>
      </c>
      <c r="F81" s="8">
        <f t="shared" ref="F81" si="65">ROUND(E81/$F$6,2)</f>
        <v>0</v>
      </c>
      <c r="G81" s="8">
        <f t="shared" ref="G81" si="66">ROUND(E81*$K$3,2)</f>
        <v>0</v>
      </c>
      <c r="H81" s="8">
        <f t="shared" ref="H81" si="67">E81+G81</f>
        <v>0</v>
      </c>
      <c r="I81" s="8">
        <f t="shared" ref="I81" si="68">ROUND(G81/$F$6,2)+F81</f>
        <v>0</v>
      </c>
      <c r="M81" s="54"/>
    </row>
    <row r="82" spans="1:18" ht="10.199999999999999" customHeight="1" x14ac:dyDescent="0.25">
      <c r="A82" s="40"/>
      <c r="B82" s="107" t="s">
        <v>100</v>
      </c>
      <c r="C82" s="38" t="s">
        <v>38</v>
      </c>
      <c r="D82" s="56" t="s">
        <v>715</v>
      </c>
      <c r="E82" s="8">
        <f>'(7)F1 RV'!C49</f>
        <v>0</v>
      </c>
      <c r="F82" s="8">
        <f t="shared" ref="F82:F86" si="69">ROUND(E82/$F$6,2)</f>
        <v>0</v>
      </c>
      <c r="G82" s="8">
        <f t="shared" ref="G82:G86" si="70">ROUND(E82*$K$3,2)</f>
        <v>0</v>
      </c>
      <c r="H82" s="8">
        <f t="shared" ref="H82:H86" si="71">E82+G82</f>
        <v>0</v>
      </c>
      <c r="I82" s="8">
        <f t="shared" ref="I82:I86" si="72">ROUND(G82/$F$6,2)+F82</f>
        <v>0</v>
      </c>
      <c r="M82" s="54"/>
    </row>
    <row r="83" spans="1:18" ht="10.199999999999999" hidden="1" customHeight="1" x14ac:dyDescent="0.25">
      <c r="A83" s="40"/>
      <c r="B83" s="107" t="s">
        <v>703</v>
      </c>
      <c r="C83" s="38" t="s">
        <v>708</v>
      </c>
      <c r="D83" s="56" t="s">
        <v>716</v>
      </c>
      <c r="E83" s="8">
        <f>'(8)F1 Del'!C50</f>
        <v>0</v>
      </c>
      <c r="F83" s="8">
        <f t="shared" si="69"/>
        <v>0</v>
      </c>
      <c r="G83" s="8">
        <f t="shared" si="70"/>
        <v>0</v>
      </c>
      <c r="H83" s="8">
        <f t="shared" si="71"/>
        <v>0</v>
      </c>
      <c r="I83" s="8">
        <f t="shared" si="72"/>
        <v>0</v>
      </c>
      <c r="M83" s="54"/>
    </row>
    <row r="84" spans="1:18" ht="10.199999999999999" hidden="1" customHeight="1" x14ac:dyDescent="0.25">
      <c r="A84" s="40"/>
      <c r="B84" s="107" t="s">
        <v>704</v>
      </c>
      <c r="C84" s="38" t="s">
        <v>709</v>
      </c>
      <c r="D84" s="56" t="s">
        <v>717</v>
      </c>
      <c r="E84" s="8">
        <f>'(9)F1 Iac'!C48</f>
        <v>0</v>
      </c>
      <c r="F84" s="8">
        <f t="shared" si="69"/>
        <v>0</v>
      </c>
      <c r="G84" s="8">
        <f t="shared" si="70"/>
        <v>0</v>
      </c>
      <c r="H84" s="8">
        <f t="shared" si="71"/>
        <v>0</v>
      </c>
      <c r="I84" s="8">
        <f t="shared" si="72"/>
        <v>0</v>
      </c>
      <c r="M84" s="54"/>
    </row>
    <row r="85" spans="1:18" ht="10.199999999999999" hidden="1" customHeight="1" x14ac:dyDescent="0.25">
      <c r="A85" s="40"/>
      <c r="B85" s="107" t="s">
        <v>705</v>
      </c>
      <c r="C85" s="38" t="s">
        <v>710</v>
      </c>
      <c r="D85" s="56" t="s">
        <v>718</v>
      </c>
      <c r="E85" s="8">
        <f>'(10)F1 Rad'!C42</f>
        <v>0</v>
      </c>
      <c r="F85" s="8">
        <f t="shared" si="69"/>
        <v>0</v>
      </c>
      <c r="G85" s="8">
        <f t="shared" si="70"/>
        <v>0</v>
      </c>
      <c r="H85" s="8">
        <f t="shared" si="71"/>
        <v>0</v>
      </c>
      <c r="I85" s="8">
        <f t="shared" si="72"/>
        <v>0</v>
      </c>
      <c r="M85" s="54"/>
    </row>
    <row r="86" spans="1:18" ht="10.199999999999999" hidden="1" customHeight="1" x14ac:dyDescent="0.25">
      <c r="A86" s="40"/>
      <c r="B86" s="107" t="s">
        <v>706</v>
      </c>
      <c r="C86" s="38" t="s">
        <v>711</v>
      </c>
      <c r="D86" s="56" t="s">
        <v>719</v>
      </c>
      <c r="E86" s="8">
        <f>'(11)F1 Tar'!C62</f>
        <v>0</v>
      </c>
      <c r="F86" s="8">
        <f t="shared" si="69"/>
        <v>0</v>
      </c>
      <c r="G86" s="8">
        <f t="shared" si="70"/>
        <v>0</v>
      </c>
      <c r="H86" s="8">
        <f t="shared" si="71"/>
        <v>0</v>
      </c>
      <c r="I86" s="8">
        <f t="shared" si="72"/>
        <v>0</v>
      </c>
      <c r="M86" s="54"/>
    </row>
    <row r="87" spans="1:18" ht="10.199999999999999" hidden="1" customHeight="1" x14ac:dyDescent="0.25">
      <c r="A87" s="40"/>
      <c r="B87" s="107" t="s">
        <v>707</v>
      </c>
      <c r="C87" s="38" t="s">
        <v>712</v>
      </c>
      <c r="D87" s="56" t="s">
        <v>720</v>
      </c>
      <c r="E87" s="8">
        <f>'(12)F1 Mir'!C57</f>
        <v>0</v>
      </c>
      <c r="F87" s="8">
        <f t="shared" si="61"/>
        <v>0</v>
      </c>
      <c r="G87" s="8">
        <f t="shared" si="62"/>
        <v>0</v>
      </c>
      <c r="H87" s="8">
        <f t="shared" si="63"/>
        <v>0</v>
      </c>
      <c r="I87" s="8">
        <f t="shared" si="64"/>
        <v>0</v>
      </c>
      <c r="M87" s="54"/>
    </row>
    <row r="88" spans="1:18" x14ac:dyDescent="0.25">
      <c r="A88" s="46" t="s">
        <v>101</v>
      </c>
      <c r="B88" s="28"/>
      <c r="C88" s="219" t="s">
        <v>102</v>
      </c>
      <c r="D88" s="220"/>
      <c r="E88" s="36">
        <f>SUM(E89:E100)</f>
        <v>0</v>
      </c>
      <c r="F88" s="36">
        <f>SUM(F89:F100)</f>
        <v>0</v>
      </c>
      <c r="G88" s="36">
        <f>SUM(G89:G100)</f>
        <v>0</v>
      </c>
      <c r="H88" s="36">
        <f>SUM(H89:H100)</f>
        <v>0</v>
      </c>
      <c r="I88" s="36">
        <f>SUM(I89:I100)</f>
        <v>0</v>
      </c>
      <c r="M88" s="54"/>
      <c r="N88" s="54"/>
      <c r="O88" s="54"/>
      <c r="P88" s="54"/>
      <c r="Q88" s="54"/>
      <c r="R88" s="54"/>
    </row>
    <row r="89" spans="1:18" hidden="1" x14ac:dyDescent="0.25">
      <c r="A89" s="40"/>
      <c r="B89" s="107" t="s">
        <v>103</v>
      </c>
      <c r="C89" s="38" t="s">
        <v>26</v>
      </c>
      <c r="D89" s="35" t="str">
        <f>D76</f>
        <v>Statia 110/20 kV Belcesti, jud. IS</v>
      </c>
      <c r="E89" s="8">
        <f>'(1)F1 Bel'!C92</f>
        <v>0</v>
      </c>
      <c r="F89" s="8">
        <f t="shared" ref="F89:F100" si="73">ROUND(E89/$F$6,2)</f>
        <v>0</v>
      </c>
      <c r="G89" s="8">
        <f t="shared" ref="G89:G100" si="74">ROUND(E89*$K$3,2)</f>
        <v>0</v>
      </c>
      <c r="H89" s="8">
        <f t="shared" ref="H89:H100" si="75">E89+G89</f>
        <v>0</v>
      </c>
      <c r="I89" s="8">
        <f t="shared" ref="I89:I100" si="76">ROUND(G89/$F$6,2)+F89</f>
        <v>0</v>
      </c>
      <c r="M89" s="54"/>
    </row>
    <row r="90" spans="1:18" hidden="1" x14ac:dyDescent="0.25">
      <c r="A90" s="40"/>
      <c r="B90" s="107" t="s">
        <v>104</v>
      </c>
      <c r="C90" s="38" t="s">
        <v>28</v>
      </c>
      <c r="D90" s="35" t="str">
        <f>D77</f>
        <v>Statia 20 kV Tabara, jud. IS</v>
      </c>
      <c r="E90" s="8">
        <f>'(2)F1 Tab'!C63</f>
        <v>0</v>
      </c>
      <c r="F90" s="8">
        <f t="shared" si="73"/>
        <v>0</v>
      </c>
      <c r="G90" s="8">
        <f t="shared" si="74"/>
        <v>0</v>
      </c>
      <c r="H90" s="8">
        <f t="shared" si="75"/>
        <v>0</v>
      </c>
      <c r="I90" s="8">
        <f t="shared" si="76"/>
        <v>0</v>
      </c>
      <c r="M90" s="54"/>
    </row>
    <row r="91" spans="1:18" ht="10.199999999999999" hidden="1" customHeight="1" x14ac:dyDescent="0.25">
      <c r="A91" s="40"/>
      <c r="B91" s="107" t="s">
        <v>105</v>
      </c>
      <c r="C91" s="38" t="s">
        <v>30</v>
      </c>
      <c r="D91" s="35" t="str">
        <f>D78</f>
        <v>Statia 110/20 kV Trifesti, jud. IS</v>
      </c>
      <c r="E91" s="8">
        <f>'(3)F1 Trif'!C92</f>
        <v>0</v>
      </c>
      <c r="F91" s="8">
        <f t="shared" si="73"/>
        <v>0</v>
      </c>
      <c r="G91" s="8">
        <f t="shared" si="74"/>
        <v>0</v>
      </c>
      <c r="H91" s="8">
        <f t="shared" si="75"/>
        <v>0</v>
      </c>
      <c r="I91" s="8">
        <f t="shared" si="76"/>
        <v>0</v>
      </c>
      <c r="M91" s="54"/>
    </row>
    <row r="92" spans="1:18" ht="10.199999999999999" customHeight="1" x14ac:dyDescent="0.25">
      <c r="A92" s="40"/>
      <c r="B92" s="107" t="s">
        <v>106</v>
      </c>
      <c r="C92" s="38" t="s">
        <v>32</v>
      </c>
      <c r="D92" s="35" t="str">
        <f>D79</f>
        <v>Statia 110/6 kV Roman IMR, jud. NT</v>
      </c>
      <c r="E92" s="8">
        <f>'(4)F1 IMR'!C98</f>
        <v>0</v>
      </c>
      <c r="F92" s="8">
        <f t="shared" si="73"/>
        <v>0</v>
      </c>
      <c r="G92" s="8">
        <f t="shared" si="74"/>
        <v>0</v>
      </c>
      <c r="H92" s="8">
        <f t="shared" si="75"/>
        <v>0</v>
      </c>
      <c r="I92" s="8">
        <f t="shared" si="76"/>
        <v>0</v>
      </c>
      <c r="M92" s="54"/>
    </row>
    <row r="93" spans="1:18" ht="10.199999999999999" customHeight="1" x14ac:dyDescent="0.25">
      <c r="A93" s="40"/>
      <c r="B93" s="107" t="s">
        <v>107</v>
      </c>
      <c r="C93" s="38" t="s">
        <v>34</v>
      </c>
      <c r="D93" s="35" t="str">
        <f>D80</f>
        <v>Statia 110/20 kV PAL Neamt, jud. NT</v>
      </c>
      <c r="E93" s="8">
        <f>'(5)F1 PAL'!C96</f>
        <v>0</v>
      </c>
      <c r="F93" s="8">
        <f t="shared" si="73"/>
        <v>0</v>
      </c>
      <c r="G93" s="8">
        <f t="shared" si="74"/>
        <v>0</v>
      </c>
      <c r="H93" s="8">
        <f t="shared" si="75"/>
        <v>0</v>
      </c>
      <c r="I93" s="8">
        <f t="shared" si="76"/>
        <v>0</v>
      </c>
      <c r="M93" s="54"/>
    </row>
    <row r="94" spans="1:18" ht="10.199999999999999" customHeight="1" x14ac:dyDescent="0.25">
      <c r="A94" s="40"/>
      <c r="B94" s="107" t="s">
        <v>108</v>
      </c>
      <c r="C94" s="38" t="s">
        <v>36</v>
      </c>
      <c r="D94" s="35" t="str">
        <f t="shared" ref="D94:D100" si="77">D81</f>
        <v>Statia 110/20 kV P.N. Gara, jud. NT</v>
      </c>
      <c r="E94" s="8">
        <f>'(6)F1 PNG'!C101</f>
        <v>0</v>
      </c>
      <c r="F94" s="8">
        <f t="shared" ref="F94" si="78">ROUND(E94/$F$6,2)</f>
        <v>0</v>
      </c>
      <c r="G94" s="8">
        <f t="shared" ref="G94" si="79">ROUND(E94*$K$3,2)</f>
        <v>0</v>
      </c>
      <c r="H94" s="8">
        <f t="shared" ref="H94" si="80">E94+G94</f>
        <v>0</v>
      </c>
      <c r="I94" s="8">
        <f t="shared" ref="I94" si="81">ROUND(G94/$F$6,2)+F94</f>
        <v>0</v>
      </c>
      <c r="M94" s="54"/>
    </row>
    <row r="95" spans="1:18" ht="10.199999999999999" customHeight="1" x14ac:dyDescent="0.25">
      <c r="A95" s="40"/>
      <c r="B95" s="107" t="s">
        <v>109</v>
      </c>
      <c r="C95" s="38" t="s">
        <v>38</v>
      </c>
      <c r="D95" s="35" t="str">
        <f t="shared" si="77"/>
        <v>Statia 110/20 kV Roman Vest, jud. NT</v>
      </c>
      <c r="E95" s="8">
        <f>'(7)F1 RV'!C98</f>
        <v>0</v>
      </c>
      <c r="F95" s="8">
        <f t="shared" ref="F95:F98" si="82">ROUND(E95/$F$6,2)</f>
        <v>0</v>
      </c>
      <c r="G95" s="8">
        <f t="shared" ref="G95:G98" si="83">ROUND(E95*$K$3,2)</f>
        <v>0</v>
      </c>
      <c r="H95" s="8">
        <f t="shared" ref="H95:H98" si="84">E95+G95</f>
        <v>0</v>
      </c>
      <c r="I95" s="8">
        <f t="shared" ref="I95:I98" si="85">ROUND(G95/$F$6,2)+F95</f>
        <v>0</v>
      </c>
      <c r="M95" s="54"/>
    </row>
    <row r="96" spans="1:18" ht="10.199999999999999" hidden="1" customHeight="1" x14ac:dyDescent="0.25">
      <c r="A96" s="40"/>
      <c r="B96" s="107" t="s">
        <v>721</v>
      </c>
      <c r="C96" s="38" t="s">
        <v>708</v>
      </c>
      <c r="D96" s="35" t="str">
        <f t="shared" si="77"/>
        <v>Statia 110/20 kV Delnita, jud. SV</v>
      </c>
      <c r="E96" s="8">
        <f>'(8)F1 Del'!C100</f>
        <v>0</v>
      </c>
      <c r="F96" s="8">
        <f t="shared" si="82"/>
        <v>0</v>
      </c>
      <c r="G96" s="8">
        <f t="shared" si="83"/>
        <v>0</v>
      </c>
      <c r="H96" s="8">
        <f t="shared" si="84"/>
        <v>0</v>
      </c>
      <c r="I96" s="8">
        <f t="shared" si="85"/>
        <v>0</v>
      </c>
      <c r="M96" s="54"/>
    </row>
    <row r="97" spans="1:13" ht="10.199999999999999" hidden="1" customHeight="1" x14ac:dyDescent="0.25">
      <c r="A97" s="40"/>
      <c r="B97" s="107" t="s">
        <v>722</v>
      </c>
      <c r="C97" s="38" t="s">
        <v>709</v>
      </c>
      <c r="D97" s="35" t="str">
        <f t="shared" si="77"/>
        <v>Statia 110/20 kV Iacobeni, jud. SV</v>
      </c>
      <c r="E97" s="8">
        <f>'(9)F1 Iac'!C96</f>
        <v>0</v>
      </c>
      <c r="F97" s="8">
        <f t="shared" si="82"/>
        <v>0</v>
      </c>
      <c r="G97" s="8">
        <f t="shared" si="83"/>
        <v>0</v>
      </c>
      <c r="H97" s="8">
        <f t="shared" si="84"/>
        <v>0</v>
      </c>
      <c r="I97" s="8">
        <f t="shared" si="85"/>
        <v>0</v>
      </c>
      <c r="M97" s="54"/>
    </row>
    <row r="98" spans="1:13" ht="10.199999999999999" hidden="1" customHeight="1" x14ac:dyDescent="0.25">
      <c r="A98" s="40"/>
      <c r="B98" s="107" t="s">
        <v>723</v>
      </c>
      <c r="C98" s="38" t="s">
        <v>710</v>
      </c>
      <c r="D98" s="35" t="str">
        <f t="shared" si="77"/>
        <v>Statia 110/6 kV Radiatoare, jud. SV</v>
      </c>
      <c r="E98" s="8">
        <f>'(10)F1 Rad'!C86</f>
        <v>0</v>
      </c>
      <c r="F98" s="8">
        <f t="shared" si="82"/>
        <v>0</v>
      </c>
      <c r="G98" s="8">
        <f t="shared" si="83"/>
        <v>0</v>
      </c>
      <c r="H98" s="8">
        <f t="shared" si="84"/>
        <v>0</v>
      </c>
      <c r="I98" s="8">
        <f t="shared" si="85"/>
        <v>0</v>
      </c>
      <c r="M98" s="54"/>
    </row>
    <row r="99" spans="1:13" ht="10.199999999999999" hidden="1" customHeight="1" x14ac:dyDescent="0.25">
      <c r="A99" s="40"/>
      <c r="B99" s="107" t="s">
        <v>724</v>
      </c>
      <c r="C99" s="38" t="s">
        <v>711</v>
      </c>
      <c r="D99" s="35" t="str">
        <f t="shared" si="77"/>
        <v>Statia 110/20/6 kV Tarnita, jud. SV</v>
      </c>
      <c r="E99" s="8">
        <f>'(11)F1 Tar'!C108</f>
        <v>0</v>
      </c>
      <c r="F99" s="8">
        <f t="shared" si="73"/>
        <v>0</v>
      </c>
      <c r="G99" s="8">
        <f t="shared" si="74"/>
        <v>0</v>
      </c>
      <c r="H99" s="8">
        <f t="shared" si="75"/>
        <v>0</v>
      </c>
      <c r="I99" s="8">
        <f t="shared" si="76"/>
        <v>0</v>
      </c>
      <c r="M99" s="54"/>
    </row>
    <row r="100" spans="1:13" ht="10.199999999999999" hidden="1" customHeight="1" x14ac:dyDescent="0.25">
      <c r="A100" s="40"/>
      <c r="B100" s="107" t="s">
        <v>725</v>
      </c>
      <c r="C100" s="38" t="s">
        <v>712</v>
      </c>
      <c r="D100" s="35" t="str">
        <f t="shared" si="77"/>
        <v>Statia 110/20 kV Mirauti, jud. SV</v>
      </c>
      <c r="E100" s="8">
        <f>'(12)F1 Mir'!C102</f>
        <v>0</v>
      </c>
      <c r="F100" s="8">
        <f t="shared" si="73"/>
        <v>0</v>
      </c>
      <c r="G100" s="8">
        <f t="shared" si="74"/>
        <v>0</v>
      </c>
      <c r="H100" s="8">
        <f t="shared" si="75"/>
        <v>0</v>
      </c>
      <c r="I100" s="8">
        <f t="shared" si="76"/>
        <v>0</v>
      </c>
      <c r="M100" s="54"/>
    </row>
    <row r="101" spans="1:13" ht="10.95" customHeight="1" x14ac:dyDescent="0.25">
      <c r="A101" s="46" t="s">
        <v>110</v>
      </c>
      <c r="B101" s="28"/>
      <c r="C101" s="28" t="s">
        <v>111</v>
      </c>
      <c r="D101" s="34"/>
      <c r="E101" s="36">
        <f>SUM(E102:E113)</f>
        <v>0</v>
      </c>
      <c r="F101" s="36">
        <f>SUM(F102:F113)</f>
        <v>0</v>
      </c>
      <c r="G101" s="36">
        <f>SUM(G102:G113)</f>
        <v>0</v>
      </c>
      <c r="H101" s="36">
        <f>SUM(H102:H113)</f>
        <v>0</v>
      </c>
      <c r="I101" s="36">
        <f>SUM(I102:I113)</f>
        <v>0</v>
      </c>
      <c r="M101" s="54"/>
    </row>
    <row r="102" spans="1:13" hidden="1" x14ac:dyDescent="0.25">
      <c r="A102" s="53"/>
      <c r="B102" s="114" t="s">
        <v>112</v>
      </c>
      <c r="C102" s="38" t="s">
        <v>26</v>
      </c>
      <c r="D102" s="35" t="str">
        <f>D76</f>
        <v>Statia 110/20 kV Belcesti, jud. IS</v>
      </c>
      <c r="E102" s="8">
        <f>'(1)F1 Bel'!C108</f>
        <v>0</v>
      </c>
      <c r="F102" s="8">
        <f t="shared" ref="F102:F116" si="86">ROUND(E102/$F$6,2)</f>
        <v>0</v>
      </c>
      <c r="G102" s="8">
        <f t="shared" ref="G102:G116" si="87">ROUND(E102*$K$3,2)</f>
        <v>0</v>
      </c>
      <c r="H102" s="8">
        <f t="shared" ref="H102:H116" si="88">E102+G102</f>
        <v>0</v>
      </c>
      <c r="I102" s="8">
        <f t="shared" ref="I102:I116" si="89">ROUND(G102/$F$6,2)+F102</f>
        <v>0</v>
      </c>
      <c r="M102" s="54"/>
    </row>
    <row r="103" spans="1:13" hidden="1" x14ac:dyDescent="0.25">
      <c r="A103" s="53"/>
      <c r="B103" s="114" t="s">
        <v>113</v>
      </c>
      <c r="C103" s="38" t="s">
        <v>28</v>
      </c>
      <c r="D103" s="35" t="str">
        <f t="shared" ref="D103:D113" si="90">D77</f>
        <v>Statia 20 kV Tabara, jud. IS</v>
      </c>
      <c r="E103" s="8">
        <f>'(2)F1 Tab'!C73</f>
        <v>0</v>
      </c>
      <c r="F103" s="8">
        <f t="shared" si="86"/>
        <v>0</v>
      </c>
      <c r="G103" s="8">
        <f t="shared" si="87"/>
        <v>0</v>
      </c>
      <c r="H103" s="8">
        <f t="shared" si="88"/>
        <v>0</v>
      </c>
      <c r="I103" s="8">
        <f t="shared" si="89"/>
        <v>0</v>
      </c>
      <c r="M103" s="54"/>
    </row>
    <row r="104" spans="1:13" ht="10.199999999999999" hidden="1" customHeight="1" x14ac:dyDescent="0.25">
      <c r="A104" s="53"/>
      <c r="B104" s="114" t="s">
        <v>114</v>
      </c>
      <c r="C104" s="38" t="s">
        <v>30</v>
      </c>
      <c r="D104" s="35" t="str">
        <f t="shared" si="90"/>
        <v>Statia 110/20 kV Trifesti, jud. IS</v>
      </c>
      <c r="E104" s="8">
        <f>'(3)F1 Trif'!C107</f>
        <v>0</v>
      </c>
      <c r="F104" s="8">
        <f t="shared" si="86"/>
        <v>0</v>
      </c>
      <c r="G104" s="8">
        <f t="shared" si="87"/>
        <v>0</v>
      </c>
      <c r="H104" s="8">
        <f t="shared" si="88"/>
        <v>0</v>
      </c>
      <c r="I104" s="8">
        <f t="shared" si="89"/>
        <v>0</v>
      </c>
      <c r="M104" s="54"/>
    </row>
    <row r="105" spans="1:13" ht="10.199999999999999" customHeight="1" x14ac:dyDescent="0.25">
      <c r="A105" s="53"/>
      <c r="B105" s="114" t="s">
        <v>115</v>
      </c>
      <c r="C105" s="38" t="s">
        <v>32</v>
      </c>
      <c r="D105" s="35" t="str">
        <f t="shared" si="90"/>
        <v>Statia 110/6 kV Roman IMR, jud. NT</v>
      </c>
      <c r="E105" s="8">
        <f>'(4)F1 IMR'!C112</f>
        <v>0</v>
      </c>
      <c r="F105" s="8">
        <f t="shared" si="86"/>
        <v>0</v>
      </c>
      <c r="G105" s="8">
        <f t="shared" si="87"/>
        <v>0</v>
      </c>
      <c r="H105" s="8">
        <f t="shared" si="88"/>
        <v>0</v>
      </c>
      <c r="I105" s="8">
        <f t="shared" si="89"/>
        <v>0</v>
      </c>
      <c r="M105" s="54"/>
    </row>
    <row r="106" spans="1:13" ht="10.199999999999999" customHeight="1" x14ac:dyDescent="0.25">
      <c r="A106" s="53"/>
      <c r="B106" s="114" t="s">
        <v>116</v>
      </c>
      <c r="C106" s="38" t="s">
        <v>34</v>
      </c>
      <c r="D106" s="35" t="str">
        <f t="shared" si="90"/>
        <v>Statia 110/20 kV PAL Neamt, jud. NT</v>
      </c>
      <c r="E106" s="8">
        <f>'(5)F1 PAL'!C109</f>
        <v>0</v>
      </c>
      <c r="F106" s="8">
        <f t="shared" si="86"/>
        <v>0</v>
      </c>
      <c r="G106" s="8">
        <f t="shared" si="87"/>
        <v>0</v>
      </c>
      <c r="H106" s="8">
        <f t="shared" si="88"/>
        <v>0</v>
      </c>
      <c r="I106" s="8">
        <f t="shared" si="89"/>
        <v>0</v>
      </c>
      <c r="M106" s="54"/>
    </row>
    <row r="107" spans="1:13" ht="10.199999999999999" customHeight="1" x14ac:dyDescent="0.25">
      <c r="A107" s="53"/>
      <c r="B107" s="114" t="s">
        <v>117</v>
      </c>
      <c r="C107" s="38" t="s">
        <v>36</v>
      </c>
      <c r="D107" s="35" t="str">
        <f t="shared" si="90"/>
        <v>Statia 110/20 kV P.N. Gara, jud. NT</v>
      </c>
      <c r="E107" s="8">
        <f>'(6)F1 PNG'!C113</f>
        <v>0</v>
      </c>
      <c r="F107" s="8">
        <f t="shared" ref="F107" si="91">ROUND(E107/$F$6,2)</f>
        <v>0</v>
      </c>
      <c r="G107" s="8">
        <f t="shared" ref="G107" si="92">ROUND(E107*$K$3,2)</f>
        <v>0</v>
      </c>
      <c r="H107" s="8">
        <f t="shared" ref="H107" si="93">E107+G107</f>
        <v>0</v>
      </c>
      <c r="I107" s="8">
        <f t="shared" ref="I107" si="94">ROUND(G107/$F$6,2)+F107</f>
        <v>0</v>
      </c>
      <c r="M107" s="54"/>
    </row>
    <row r="108" spans="1:13" ht="10.199999999999999" customHeight="1" x14ac:dyDescent="0.25">
      <c r="A108" s="53"/>
      <c r="B108" s="114" t="s">
        <v>118</v>
      </c>
      <c r="C108" s="38" t="s">
        <v>38</v>
      </c>
      <c r="D108" s="35" t="str">
        <f t="shared" si="90"/>
        <v>Statia 110/20 kV Roman Vest, jud. NT</v>
      </c>
      <c r="E108" s="8">
        <f>'(7)F1 RV'!C110</f>
        <v>0</v>
      </c>
      <c r="F108" s="8">
        <f t="shared" si="86"/>
        <v>0</v>
      </c>
      <c r="G108" s="8">
        <f t="shared" si="87"/>
        <v>0</v>
      </c>
      <c r="H108" s="8">
        <f t="shared" si="88"/>
        <v>0</v>
      </c>
      <c r="I108" s="8">
        <f t="shared" si="89"/>
        <v>0</v>
      </c>
      <c r="M108" s="54"/>
    </row>
    <row r="109" spans="1:13" ht="10.199999999999999" hidden="1" customHeight="1" x14ac:dyDescent="0.25">
      <c r="A109" s="53"/>
      <c r="B109" s="114" t="s">
        <v>726</v>
      </c>
      <c r="C109" s="38" t="s">
        <v>708</v>
      </c>
      <c r="D109" s="35" t="str">
        <f t="shared" si="90"/>
        <v>Statia 110/20 kV Delnita, jud. SV</v>
      </c>
      <c r="E109" s="8">
        <f>'(8)F1 Del'!C116</f>
        <v>0</v>
      </c>
      <c r="F109" s="8">
        <f t="shared" ref="F109" si="95">ROUND(E109/$F$6,2)</f>
        <v>0</v>
      </c>
      <c r="G109" s="8">
        <f t="shared" ref="G109" si="96">ROUND(E109*$K$3,2)</f>
        <v>0</v>
      </c>
      <c r="H109" s="8">
        <f t="shared" ref="H109" si="97">E109+G109</f>
        <v>0</v>
      </c>
      <c r="I109" s="8">
        <f t="shared" ref="I109" si="98">ROUND(G109/$F$6,2)+F109</f>
        <v>0</v>
      </c>
      <c r="M109" s="54"/>
    </row>
    <row r="110" spans="1:13" ht="10.199999999999999" hidden="1" customHeight="1" x14ac:dyDescent="0.25">
      <c r="A110" s="53"/>
      <c r="B110" s="114" t="s">
        <v>727</v>
      </c>
      <c r="C110" s="38" t="s">
        <v>709</v>
      </c>
      <c r="D110" s="35" t="str">
        <f t="shared" si="90"/>
        <v>Statia 110/20 kV Iacobeni, jud. SV</v>
      </c>
      <c r="E110" s="8">
        <f>'(9)F1 Iac'!C111</f>
        <v>0</v>
      </c>
      <c r="F110" s="8">
        <f t="shared" ref="F110:F112" si="99">ROUND(E110/$F$6,2)</f>
        <v>0</v>
      </c>
      <c r="G110" s="8">
        <f t="shared" ref="G110:G112" si="100">ROUND(E110*$K$3,2)</f>
        <v>0</v>
      </c>
      <c r="H110" s="8">
        <f t="shared" ref="H110:H112" si="101">E110+G110</f>
        <v>0</v>
      </c>
      <c r="I110" s="8">
        <f t="shared" ref="I110:I112" si="102">ROUND(G110/$F$6,2)+F110</f>
        <v>0</v>
      </c>
      <c r="M110" s="54"/>
    </row>
    <row r="111" spans="1:13" ht="10.199999999999999" hidden="1" customHeight="1" x14ac:dyDescent="0.25">
      <c r="A111" s="53"/>
      <c r="B111" s="114" t="s">
        <v>728</v>
      </c>
      <c r="C111" s="38" t="s">
        <v>710</v>
      </c>
      <c r="D111" s="35" t="str">
        <f t="shared" si="90"/>
        <v>Statia 110/6 kV Radiatoare, jud. SV</v>
      </c>
      <c r="E111" s="8">
        <f>'(10)F1 Rad'!C99</f>
        <v>0</v>
      </c>
      <c r="F111" s="8">
        <f t="shared" si="99"/>
        <v>0</v>
      </c>
      <c r="G111" s="8">
        <f t="shared" si="100"/>
        <v>0</v>
      </c>
      <c r="H111" s="8">
        <f t="shared" si="101"/>
        <v>0</v>
      </c>
      <c r="I111" s="8">
        <f t="shared" si="102"/>
        <v>0</v>
      </c>
      <c r="M111" s="54"/>
    </row>
    <row r="112" spans="1:13" ht="10.199999999999999" hidden="1" customHeight="1" x14ac:dyDescent="0.25">
      <c r="A112" s="53"/>
      <c r="B112" s="114" t="s">
        <v>729</v>
      </c>
      <c r="C112" s="38" t="s">
        <v>711</v>
      </c>
      <c r="D112" s="35" t="str">
        <f t="shared" si="90"/>
        <v>Statia 110/20/6 kV Tarnita, jud. SV</v>
      </c>
      <c r="E112" s="8">
        <f>'(11)F1 Tar'!C121</f>
        <v>0</v>
      </c>
      <c r="F112" s="8">
        <f t="shared" si="99"/>
        <v>0</v>
      </c>
      <c r="G112" s="8">
        <f t="shared" si="100"/>
        <v>0</v>
      </c>
      <c r="H112" s="8">
        <f t="shared" si="101"/>
        <v>0</v>
      </c>
      <c r="I112" s="8">
        <f t="shared" si="102"/>
        <v>0</v>
      </c>
      <c r="M112" s="54"/>
    </row>
    <row r="113" spans="1:18" ht="10.199999999999999" hidden="1" customHeight="1" x14ac:dyDescent="0.25">
      <c r="A113" s="53"/>
      <c r="B113" s="114" t="s">
        <v>730</v>
      </c>
      <c r="C113" s="38" t="s">
        <v>712</v>
      </c>
      <c r="D113" s="35" t="str">
        <f t="shared" si="90"/>
        <v>Statia 110/20 kV Mirauti, jud. SV</v>
      </c>
      <c r="E113" s="8">
        <f>'(12)F1 Mir'!C115</f>
        <v>0</v>
      </c>
      <c r="F113" s="8">
        <f t="shared" si="86"/>
        <v>0</v>
      </c>
      <c r="G113" s="8">
        <f t="shared" si="87"/>
        <v>0</v>
      </c>
      <c r="H113" s="8">
        <f t="shared" si="88"/>
        <v>0</v>
      </c>
      <c r="I113" s="8">
        <f t="shared" si="89"/>
        <v>0</v>
      </c>
      <c r="M113" s="54"/>
    </row>
    <row r="114" spans="1:18" ht="11.1" customHeight="1" x14ac:dyDescent="0.25">
      <c r="A114" s="40" t="s">
        <v>119</v>
      </c>
      <c r="B114" s="20"/>
      <c r="C114" s="217" t="s">
        <v>120</v>
      </c>
      <c r="D114" s="218"/>
      <c r="E114" s="8">
        <v>0</v>
      </c>
      <c r="F114" s="8">
        <f t="shared" si="86"/>
        <v>0</v>
      </c>
      <c r="G114" s="8">
        <f t="shared" si="87"/>
        <v>0</v>
      </c>
      <c r="H114" s="8">
        <f t="shared" si="88"/>
        <v>0</v>
      </c>
      <c r="I114" s="8">
        <f t="shared" si="89"/>
        <v>0</v>
      </c>
      <c r="M114" s="54"/>
    </row>
    <row r="115" spans="1:18" ht="11.1" customHeight="1" x14ac:dyDescent="0.25">
      <c r="A115" s="40" t="s">
        <v>121</v>
      </c>
      <c r="B115" s="20"/>
      <c r="C115" s="217" t="s">
        <v>122</v>
      </c>
      <c r="D115" s="218"/>
      <c r="E115" s="8">
        <v>0</v>
      </c>
      <c r="F115" s="8">
        <f t="shared" si="86"/>
        <v>0</v>
      </c>
      <c r="G115" s="8">
        <f t="shared" si="87"/>
        <v>0</v>
      </c>
      <c r="H115" s="8">
        <f t="shared" si="88"/>
        <v>0</v>
      </c>
      <c r="I115" s="8">
        <f t="shared" si="89"/>
        <v>0</v>
      </c>
      <c r="M115" s="54"/>
    </row>
    <row r="116" spans="1:18" ht="11.1" customHeight="1" x14ac:dyDescent="0.25">
      <c r="A116" s="40" t="s">
        <v>123</v>
      </c>
      <c r="B116" s="20"/>
      <c r="C116" s="217" t="s">
        <v>124</v>
      </c>
      <c r="D116" s="218"/>
      <c r="E116" s="10">
        <v>0</v>
      </c>
      <c r="F116" s="8">
        <f t="shared" si="86"/>
        <v>0</v>
      </c>
      <c r="G116" s="8">
        <f t="shared" si="87"/>
        <v>0</v>
      </c>
      <c r="H116" s="8">
        <f t="shared" si="88"/>
        <v>0</v>
      </c>
      <c r="I116" s="8">
        <f t="shared" si="89"/>
        <v>0</v>
      </c>
      <c r="M116" s="54"/>
    </row>
    <row r="117" spans="1:18" ht="11.1" customHeight="1" x14ac:dyDescent="0.25">
      <c r="A117" s="45"/>
      <c r="B117" s="25"/>
      <c r="C117" s="215" t="s">
        <v>125</v>
      </c>
      <c r="D117" s="216"/>
      <c r="E117" s="31">
        <f>E75+E88+E101+E114+E115+E116</f>
        <v>0</v>
      </c>
      <c r="F117" s="31">
        <f t="shared" ref="F117:I117" si="103">F75+F88+F101+F114+F115+F116</f>
        <v>0</v>
      </c>
      <c r="G117" s="31">
        <f t="shared" si="103"/>
        <v>0</v>
      </c>
      <c r="H117" s="31">
        <f t="shared" si="103"/>
        <v>0</v>
      </c>
      <c r="I117" s="31">
        <f t="shared" si="103"/>
        <v>0</v>
      </c>
      <c r="M117" s="54"/>
      <c r="N117" s="54"/>
      <c r="O117" s="54"/>
      <c r="P117" s="54"/>
      <c r="Q117" s="54"/>
      <c r="R117" s="54"/>
    </row>
    <row r="118" spans="1:18" ht="11.1" customHeight="1" x14ac:dyDescent="0.25">
      <c r="A118" s="40"/>
      <c r="B118" s="221" t="s">
        <v>126</v>
      </c>
      <c r="C118" s="222"/>
      <c r="D118" s="223"/>
      <c r="E118" s="9"/>
      <c r="F118" s="8"/>
      <c r="G118" s="9"/>
      <c r="H118" s="9"/>
      <c r="I118" s="9"/>
      <c r="M118" s="54"/>
    </row>
    <row r="119" spans="1:18" ht="11.1" customHeight="1" x14ac:dyDescent="0.25">
      <c r="A119" s="46" t="s">
        <v>127</v>
      </c>
      <c r="B119" s="28"/>
      <c r="C119" s="219" t="s">
        <v>128</v>
      </c>
      <c r="D119" s="220"/>
      <c r="E119" s="29">
        <f>SUM(E120:E121)</f>
        <v>0</v>
      </c>
      <c r="F119" s="29">
        <f t="shared" ref="F119:I119" si="104">SUM(F120:F121)</f>
        <v>0</v>
      </c>
      <c r="G119" s="29">
        <f t="shared" si="104"/>
        <v>0</v>
      </c>
      <c r="H119" s="29">
        <f t="shared" si="104"/>
        <v>0</v>
      </c>
      <c r="I119" s="29">
        <f t="shared" si="104"/>
        <v>0</v>
      </c>
      <c r="J119" s="7"/>
      <c r="M119" s="54"/>
    </row>
    <row r="120" spans="1:18" ht="11.1" customHeight="1" x14ac:dyDescent="0.25">
      <c r="A120" s="47"/>
      <c r="B120" s="15" t="s">
        <v>129</v>
      </c>
      <c r="C120" s="227" t="s">
        <v>130</v>
      </c>
      <c r="D120" s="228"/>
      <c r="E120" s="8">
        <f>(E75+E88)*J120/100</f>
        <v>0</v>
      </c>
      <c r="F120" s="8">
        <f t="shared" ref="F120:F121" si="105">ROUND(E120/$F$6,2)</f>
        <v>0</v>
      </c>
      <c r="G120" s="8">
        <f t="shared" ref="G120:G121" si="106">ROUND(E120*$K$3,2)</f>
        <v>0</v>
      </c>
      <c r="H120" s="8">
        <f t="shared" ref="H120:H121" si="107">E120+G120</f>
        <v>0</v>
      </c>
      <c r="I120" s="8">
        <f t="shared" ref="I120:I121" si="108">ROUND(G120/$F$6,2)+F120</f>
        <v>0</v>
      </c>
      <c r="J120" s="7"/>
      <c r="M120" s="54"/>
    </row>
    <row r="121" spans="1:18" ht="11.1" customHeight="1" x14ac:dyDescent="0.25">
      <c r="A121" s="47"/>
      <c r="B121" s="15" t="s">
        <v>131</v>
      </c>
      <c r="C121" s="15" t="s">
        <v>132</v>
      </c>
      <c r="D121" s="15"/>
      <c r="E121" s="8">
        <v>0</v>
      </c>
      <c r="F121" s="8">
        <f t="shared" si="105"/>
        <v>0</v>
      </c>
      <c r="G121" s="8">
        <f t="shared" si="106"/>
        <v>0</v>
      </c>
      <c r="H121" s="8">
        <f t="shared" si="107"/>
        <v>0</v>
      </c>
      <c r="I121" s="8">
        <f t="shared" si="108"/>
        <v>0</v>
      </c>
      <c r="J121" s="7"/>
      <c r="M121" s="54"/>
    </row>
    <row r="122" spans="1:18" ht="11.1" customHeight="1" x14ac:dyDescent="0.25">
      <c r="A122" s="48" t="s">
        <v>133</v>
      </c>
      <c r="B122" s="28"/>
      <c r="C122" s="28" t="s">
        <v>134</v>
      </c>
      <c r="D122" s="28"/>
      <c r="E122" s="27">
        <f>SUM(E123:E127)</f>
        <v>0</v>
      </c>
      <c r="F122" s="27">
        <f t="shared" ref="F122:I122" si="109">SUM(F123:F127)</f>
        <v>0</v>
      </c>
      <c r="G122" s="27">
        <f t="shared" si="109"/>
        <v>0</v>
      </c>
      <c r="H122" s="27">
        <f t="shared" si="109"/>
        <v>0</v>
      </c>
      <c r="I122" s="27">
        <f t="shared" si="109"/>
        <v>0</v>
      </c>
      <c r="J122" s="7"/>
      <c r="L122" s="54">
        <f>E122-'DG (2)'!E75-'DG (2)'!F75-'DG (2)'!G75-'DG (2)'!H75-'DG (2)'!I75-'DG (2)'!J75-'DG (2)'!K75-'DG (2)'!L75-'DG (2)'!M75-'DG (2)'!N75-'DG (2)'!O75-'DG (2)'!P75</f>
        <v>0</v>
      </c>
      <c r="M122" s="54"/>
    </row>
    <row r="123" spans="1:18" ht="11.1" customHeight="1" x14ac:dyDescent="0.25">
      <c r="A123" s="40"/>
      <c r="B123" s="15" t="s">
        <v>135</v>
      </c>
      <c r="C123" s="227" t="s">
        <v>136</v>
      </c>
      <c r="D123" s="228"/>
      <c r="E123" s="8">
        <v>0</v>
      </c>
      <c r="F123" s="8">
        <f>E123/F6</f>
        <v>0</v>
      </c>
      <c r="G123" s="8">
        <f>SUM(G124:G126)*0</f>
        <v>0</v>
      </c>
      <c r="H123" s="8">
        <f>E123+G123</f>
        <v>0</v>
      </c>
      <c r="I123" s="8">
        <f t="shared" ref="I123" si="110">H123/$F$6</f>
        <v>0</v>
      </c>
      <c r="J123" s="7"/>
      <c r="K123" s="7"/>
      <c r="L123" s="54">
        <f>E123-'DG (2)'!E76-'DG (2)'!F76-'DG (2)'!G76-'DG (2)'!H76-'DG (2)'!I76-'DG (2)'!J76-'DG (2)'!K76-'DG (2)'!L76-'DG (2)'!M76-'DG (2)'!N76-'DG (2)'!O76-'DG (2)'!P76</f>
        <v>0</v>
      </c>
      <c r="M123" s="54"/>
    </row>
    <row r="124" spans="1:18" ht="12" customHeight="1" x14ac:dyDescent="0.25">
      <c r="A124" s="40"/>
      <c r="B124" s="15" t="s">
        <v>137</v>
      </c>
      <c r="C124" s="209" t="s">
        <v>1873</v>
      </c>
      <c r="D124" s="210"/>
      <c r="E124" s="8">
        <f>(E75+E120)*0.5%</f>
        <v>0</v>
      </c>
      <c r="F124" s="8">
        <f t="shared" ref="F124:F129" si="111">ROUND(E124/$F$6,2)</f>
        <v>0</v>
      </c>
      <c r="G124" s="8">
        <v>0</v>
      </c>
      <c r="H124" s="8">
        <f t="shared" ref="H124:H129" si="112">E124+G124</f>
        <v>0</v>
      </c>
      <c r="I124" s="8">
        <f t="shared" ref="I124:I129" si="113">ROUND(G124/$F$6,2)+F124</f>
        <v>0</v>
      </c>
      <c r="J124" s="7"/>
      <c r="K124" s="7"/>
      <c r="L124" s="54">
        <f>E124-'DG (2)'!E77-'DG (2)'!F77-'DG (2)'!G77-'DG (2)'!H77-'DG (2)'!I77-'DG (2)'!J77-'DG (2)'!K77-'DG (2)'!L77-'DG (2)'!M77-'DG (2)'!N77-'DG (2)'!O77-'DG (2)'!P77</f>
        <v>0</v>
      </c>
      <c r="M124" s="54"/>
    </row>
    <row r="125" spans="1:18" ht="24" customHeight="1" x14ac:dyDescent="0.25">
      <c r="A125" s="40"/>
      <c r="B125" s="15" t="s">
        <v>138</v>
      </c>
      <c r="C125" s="209" t="s">
        <v>1874</v>
      </c>
      <c r="D125" s="210"/>
      <c r="E125" s="8">
        <f>(E75+E120)*0.1%</f>
        <v>0</v>
      </c>
      <c r="F125" s="8">
        <f t="shared" si="111"/>
        <v>0</v>
      </c>
      <c r="G125" s="8">
        <v>0</v>
      </c>
      <c r="H125" s="8">
        <f t="shared" si="112"/>
        <v>0</v>
      </c>
      <c r="I125" s="8">
        <f t="shared" si="113"/>
        <v>0</v>
      </c>
      <c r="J125" s="7"/>
      <c r="K125" s="7"/>
      <c r="L125" s="54">
        <f>E125-'DG (2)'!E78-'DG (2)'!F78-'DG (2)'!G78-'DG (2)'!H78-'DG (2)'!I78-'DG (2)'!J78-'DG (2)'!K78-'DG (2)'!L78-'DG (2)'!M78-'DG (2)'!N78-'DG (2)'!O78-'DG (2)'!P78</f>
        <v>0</v>
      </c>
      <c r="M125" s="54"/>
    </row>
    <row r="126" spans="1:18" ht="11.1" customHeight="1" x14ac:dyDescent="0.25">
      <c r="A126" s="40"/>
      <c r="B126" s="15" t="s">
        <v>139</v>
      </c>
      <c r="C126" s="227" t="s">
        <v>140</v>
      </c>
      <c r="D126" s="228"/>
      <c r="E126" s="8">
        <f>(E136)*0.5%</f>
        <v>0</v>
      </c>
      <c r="F126" s="8">
        <f t="shared" si="111"/>
        <v>0</v>
      </c>
      <c r="G126" s="8">
        <v>0</v>
      </c>
      <c r="H126" s="8">
        <f t="shared" si="112"/>
        <v>0</v>
      </c>
      <c r="I126" s="8">
        <f t="shared" si="113"/>
        <v>0</v>
      </c>
      <c r="J126" s="7"/>
      <c r="K126" s="7"/>
      <c r="L126" s="54">
        <f>E126-'DG (2)'!E79-'DG (2)'!F79-'DG (2)'!G79-'DG (2)'!H79-'DG (2)'!I79-'DG (2)'!J79-'DG (2)'!K79-'DG (2)'!L79-'DG (2)'!M79-'DG (2)'!N79-'DG (2)'!O79-'DG (2)'!P79</f>
        <v>0</v>
      </c>
      <c r="M126" s="54"/>
    </row>
    <row r="127" spans="1:18" ht="12" customHeight="1" x14ac:dyDescent="0.25">
      <c r="A127" s="40"/>
      <c r="B127" s="15" t="s">
        <v>141</v>
      </c>
      <c r="C127" s="260" t="s">
        <v>142</v>
      </c>
      <c r="D127" s="260"/>
      <c r="E127" s="8">
        <f>(E75+E120)*1%</f>
        <v>0</v>
      </c>
      <c r="F127" s="8">
        <f t="shared" si="111"/>
        <v>0</v>
      </c>
      <c r="G127" s="8">
        <f>E127*0</f>
        <v>0</v>
      </c>
      <c r="H127" s="8">
        <f t="shared" si="112"/>
        <v>0</v>
      </c>
      <c r="I127" s="8">
        <f t="shared" si="113"/>
        <v>0</v>
      </c>
      <c r="J127" s="5"/>
      <c r="K127" s="5"/>
      <c r="L127" s="54">
        <f>E127-'DG (2)'!E80-'DG (2)'!F80-'DG (2)'!G80-'DG (2)'!H80-'DG (2)'!I80-'DG (2)'!J80-'DG (2)'!K80-'DG (2)'!L80-'DG (2)'!M80-'DG (2)'!N80-'DG (2)'!O80-'DG (2)'!P80</f>
        <v>0</v>
      </c>
      <c r="M127" s="54"/>
    </row>
    <row r="128" spans="1:18" ht="11.1" customHeight="1" x14ac:dyDescent="0.25">
      <c r="A128" s="46" t="s">
        <v>143</v>
      </c>
      <c r="B128" s="20"/>
      <c r="C128" s="20" t="s">
        <v>144</v>
      </c>
      <c r="D128" s="20"/>
      <c r="E128" s="10">
        <f>(E43+E46+E55+E68+E117)*15%</f>
        <v>0</v>
      </c>
      <c r="F128" s="8">
        <f t="shared" si="111"/>
        <v>0</v>
      </c>
      <c r="G128" s="8">
        <f t="shared" ref="G128:G129" si="114">ROUND(E128*$K$3,2)</f>
        <v>0</v>
      </c>
      <c r="H128" s="8">
        <f t="shared" si="112"/>
        <v>0</v>
      </c>
      <c r="I128" s="8">
        <f t="shared" si="113"/>
        <v>0</v>
      </c>
      <c r="J128" s="5"/>
      <c r="K128" s="5"/>
      <c r="L128" s="54">
        <f>E128-'DG (2)'!E81-'DG (2)'!F81-'DG (2)'!G81-'DG (2)'!H81-'DG (2)'!I81-'DG (2)'!J81-'DG (2)'!K81-'DG (2)'!L81-'DG (2)'!M81-'DG (2)'!N81-'DG (2)'!O81-'DG (2)'!P81</f>
        <v>0</v>
      </c>
      <c r="M128" s="54"/>
    </row>
    <row r="129" spans="1:18" s="32" customFormat="1" ht="11.1" customHeight="1" x14ac:dyDescent="0.25">
      <c r="A129" s="40">
        <v>5.4</v>
      </c>
      <c r="B129" s="20"/>
      <c r="C129" s="217" t="s">
        <v>145</v>
      </c>
      <c r="D129" s="218"/>
      <c r="E129" s="23">
        <f>'DG Bel'!E88+'DG Tab'!E88+'DG Trif'!E88+'DG IMR'!E88+'DG PAL'!E88+'DG PNG'!E88+'DG RV'!E88+'DG Del'!E88+'DG Iac'!E88+'DG Rad'!E88+'DG Tar'!E88+'DG Mir'!E88</f>
        <v>0</v>
      </c>
      <c r="F129" s="8">
        <f t="shared" si="111"/>
        <v>0</v>
      </c>
      <c r="G129" s="8">
        <f t="shared" si="114"/>
        <v>0</v>
      </c>
      <c r="H129" s="8">
        <f t="shared" si="112"/>
        <v>0</v>
      </c>
      <c r="I129" s="8">
        <f t="shared" si="113"/>
        <v>0</v>
      </c>
      <c r="J129" s="61"/>
      <c r="L129" s="54">
        <f>E129-'DG (2)'!E82-'DG (2)'!F82-'DG (2)'!G82-'DG (2)'!H82-'DG (2)'!I82-'DG (2)'!J82-'DG (2)'!K82-'DG (2)'!L82-'DG (2)'!M82-'DG (2)'!N82-'DG (2)'!O82-'DG (2)'!P82</f>
        <v>0</v>
      </c>
      <c r="M129" s="54"/>
    </row>
    <row r="130" spans="1:18" ht="11.1" customHeight="1" x14ac:dyDescent="0.25">
      <c r="A130" s="45"/>
      <c r="B130" s="25"/>
      <c r="C130" s="215" t="s">
        <v>146</v>
      </c>
      <c r="D130" s="216"/>
      <c r="E130" s="31">
        <f>E119+E122+E128+E129</f>
        <v>0</v>
      </c>
      <c r="F130" s="31">
        <f t="shared" ref="F130:I130" si="115">F119+F122+F128+F129</f>
        <v>0</v>
      </c>
      <c r="G130" s="31">
        <f t="shared" si="115"/>
        <v>0</v>
      </c>
      <c r="H130" s="31">
        <f t="shared" si="115"/>
        <v>0</v>
      </c>
      <c r="I130" s="31">
        <f t="shared" si="115"/>
        <v>0</v>
      </c>
      <c r="J130" s="7"/>
      <c r="L130" s="54">
        <f>E130-'DG (2)'!E83-'DG (2)'!F83-'DG (2)'!G83-'DG (2)'!H83-'DG (2)'!I83-'DG (2)'!J83-'DG (2)'!K83-'DG (2)'!L83-'DG (2)'!M83-'DG (2)'!N83-'DG (2)'!O83-'DG (2)'!P83</f>
        <v>0</v>
      </c>
      <c r="M130" s="54"/>
      <c r="N130" s="54"/>
      <c r="O130" s="54"/>
      <c r="P130" s="54"/>
      <c r="Q130" s="54"/>
      <c r="R130" s="54"/>
    </row>
    <row r="131" spans="1:18" ht="11.1" customHeight="1" x14ac:dyDescent="0.25">
      <c r="A131" s="40"/>
      <c r="B131" s="18" t="s">
        <v>147</v>
      </c>
      <c r="C131" s="15"/>
      <c r="D131" s="15"/>
      <c r="E131" s="9"/>
      <c r="F131" s="8"/>
      <c r="G131" s="19"/>
      <c r="H131" s="9"/>
      <c r="I131" s="9"/>
      <c r="L131" s="54">
        <f>E131-'DG (2)'!E84-'DG (2)'!F84-'DG (2)'!G84-'DG (2)'!H84-'DG (2)'!I84-'DG (2)'!J84-'DG (2)'!K84-'DG (2)'!L84-'DG (2)'!M84-'DG (2)'!N84-'DG (2)'!O84-'DG (2)'!P84</f>
        <v>0</v>
      </c>
      <c r="M131" s="54"/>
    </row>
    <row r="132" spans="1:18" ht="11.1" customHeight="1" x14ac:dyDescent="0.25">
      <c r="A132" s="40" t="s">
        <v>148</v>
      </c>
      <c r="B132" s="15"/>
      <c r="C132" s="231" t="s">
        <v>149</v>
      </c>
      <c r="D132" s="232"/>
      <c r="E132" s="23">
        <f>'DG Bel'!E91+'DG Tab'!E91+'DG Trif'!E91+'DG IMR'!E91+'DG PAL'!E91+'DG RV'!E91+'DG Iac'!E91</f>
        <v>0</v>
      </c>
      <c r="F132" s="8">
        <f t="shared" ref="F132:F133" si="116">ROUND(E132/$F$6,2)</f>
        <v>0</v>
      </c>
      <c r="G132" s="8">
        <f t="shared" ref="G132" si="117">ROUND(E132*$K$3,2)</f>
        <v>0</v>
      </c>
      <c r="H132" s="8">
        <f t="shared" ref="H132:H133" si="118">E132+G132</f>
        <v>0</v>
      </c>
      <c r="I132" s="8">
        <f t="shared" ref="I132:I133" si="119">ROUND(G132/$F$6,2)+F132</f>
        <v>0</v>
      </c>
      <c r="L132" s="54">
        <f>E132-'DG (2)'!E85-'DG (2)'!F85-'DG (2)'!G85-'DG (2)'!H85-'DG (2)'!I85-'DG (2)'!J85-'DG (2)'!K85-'DG (2)'!L85-'DG (2)'!M85-'DG (2)'!N85-'DG (2)'!O85-'DG (2)'!P85</f>
        <v>0</v>
      </c>
      <c r="M132" s="54"/>
    </row>
    <row r="133" spans="1:18" ht="11.1" customHeight="1" x14ac:dyDescent="0.25">
      <c r="A133" s="40" t="s">
        <v>150</v>
      </c>
      <c r="B133" s="15"/>
      <c r="C133" s="231" t="s">
        <v>151</v>
      </c>
      <c r="D133" s="232"/>
      <c r="E133" s="23">
        <f>'DG Bel'!E92+'DG Tab'!E92+'DG Trif'!E92+'DG IMR'!E92+'DG PAL'!E92+'DG PNG'!E92+'DG RV'!E92+'DG Del'!E92+'DG Iac'!E92+'DG Rad'!E92+'DG Tar'!E92+'DG Mir'!E92</f>
        <v>0</v>
      </c>
      <c r="F133" s="8">
        <f t="shared" si="116"/>
        <v>0</v>
      </c>
      <c r="G133" s="8">
        <v>0</v>
      </c>
      <c r="H133" s="8">
        <f t="shared" si="118"/>
        <v>0</v>
      </c>
      <c r="I133" s="8">
        <f t="shared" si="119"/>
        <v>0</v>
      </c>
      <c r="L133" s="54">
        <f>E133-'DG (2)'!E86-'DG (2)'!F86-'DG (2)'!G86-'DG (2)'!H86-'DG (2)'!I86-'DG (2)'!J86-'DG (2)'!K86-'DG (2)'!L86-'DG (2)'!M86-'DG (2)'!N86-'DG (2)'!O86-'DG (2)'!P86</f>
        <v>0</v>
      </c>
      <c r="M133" s="54"/>
    </row>
    <row r="134" spans="1:18" x14ac:dyDescent="0.25">
      <c r="A134" s="52"/>
      <c r="B134" s="25"/>
      <c r="C134" s="233" t="s">
        <v>152</v>
      </c>
      <c r="D134" s="234"/>
      <c r="E134" s="30">
        <f>SUM(E132:E133)</f>
        <v>0</v>
      </c>
      <c r="F134" s="30">
        <f t="shared" ref="F134:I134" si="120">SUM(F132:F133)</f>
        <v>0</v>
      </c>
      <c r="G134" s="30">
        <f t="shared" si="120"/>
        <v>0</v>
      </c>
      <c r="H134" s="30">
        <f t="shared" si="120"/>
        <v>0</v>
      </c>
      <c r="I134" s="30">
        <f t="shared" si="120"/>
        <v>0</v>
      </c>
      <c r="L134" s="54">
        <f>E134-'DG (2)'!E87-'DG (2)'!F87-'DG (2)'!G87-'DG (2)'!H87-'DG (2)'!I87-'DG (2)'!J87-'DG (2)'!K87-'DG (2)'!L87-'DG (2)'!M87-'DG (2)'!N87-'DG (2)'!O87-'DG (2)'!P87</f>
        <v>0</v>
      </c>
      <c r="M134" s="54"/>
    </row>
    <row r="135" spans="1:18" x14ac:dyDescent="0.25">
      <c r="A135" s="224" t="s">
        <v>153</v>
      </c>
      <c r="B135" s="224"/>
      <c r="C135" s="224"/>
      <c r="D135" s="224"/>
      <c r="E135" s="21">
        <f>E43+E46+E73+E117+E130+E134</f>
        <v>0</v>
      </c>
      <c r="F135" s="21">
        <f>F43+F46+F73+F117+F130+F134</f>
        <v>0</v>
      </c>
      <c r="G135" s="21">
        <f>G43+G46+G73+G117+G130+G134</f>
        <v>0</v>
      </c>
      <c r="H135" s="21">
        <f>H43+H46+H73+H117+H130+H134</f>
        <v>0</v>
      </c>
      <c r="I135" s="21">
        <f>I43+I46+I73+I117+I130+I134</f>
        <v>0</v>
      </c>
      <c r="L135" s="54">
        <f>E135-'DG (2)'!E88-'DG (2)'!F88-'DG (2)'!G88-'DG (2)'!H88-'DG (2)'!I88-'DG (2)'!J88-'DG (2)'!K88-'DG (2)'!L88-'DG (2)'!M88-'DG (2)'!N88-'DG (2)'!O88-'DG (2)'!P88</f>
        <v>0</v>
      </c>
      <c r="M135" s="54"/>
      <c r="N135" s="54"/>
      <c r="O135" s="54"/>
      <c r="P135" s="54"/>
      <c r="Q135" s="54"/>
      <c r="R135" s="54"/>
    </row>
    <row r="136" spans="1:18" x14ac:dyDescent="0.25">
      <c r="A136" s="257" t="s">
        <v>154</v>
      </c>
      <c r="B136" s="257"/>
      <c r="C136" s="257"/>
      <c r="D136" s="257"/>
      <c r="E136" s="22">
        <f>E43+E46+E75+E88+E120</f>
        <v>0</v>
      </c>
      <c r="F136" s="22">
        <f>F43+F46+F75+F88+F120</f>
        <v>0</v>
      </c>
      <c r="G136" s="22">
        <f>G43+G46+G75+G88+G120</f>
        <v>0</v>
      </c>
      <c r="H136" s="22">
        <f>H43+H46+H75+H88+H120</f>
        <v>0</v>
      </c>
      <c r="I136" s="22">
        <f>I43+I46+I75+I88+I120</f>
        <v>0</v>
      </c>
      <c r="L136" s="54">
        <f>E136-'DG (2)'!E89-'DG (2)'!F89-'DG (2)'!G89-'DG (2)'!H89-'DG (2)'!I89-'DG (2)'!J89-'DG (2)'!K89-'DG (2)'!L89-'DG (2)'!M89-'DG (2)'!N89-'DG (2)'!O89-'DG (2)'!P89</f>
        <v>0</v>
      </c>
      <c r="M136" s="54"/>
      <c r="N136" s="54"/>
      <c r="O136" s="54"/>
      <c r="P136" s="54"/>
      <c r="Q136" s="54"/>
      <c r="R136" s="54"/>
    </row>
    <row r="137" spans="1:18" x14ac:dyDescent="0.25">
      <c r="A137" s="257" t="s">
        <v>686</v>
      </c>
      <c r="B137" s="257"/>
      <c r="C137" s="257"/>
      <c r="D137" s="257"/>
      <c r="E137" s="22">
        <f>E43+E75</f>
        <v>0</v>
      </c>
      <c r="F137" s="21">
        <f t="shared" ref="F137" si="121">E137/4.9</f>
        <v>0</v>
      </c>
      <c r="G137" s="21">
        <f t="shared" ref="G137" si="122">E137*0.19</f>
        <v>0</v>
      </c>
      <c r="H137" s="21">
        <f t="shared" ref="H137" si="123">E137+G137</f>
        <v>0</v>
      </c>
      <c r="I137" s="21">
        <f t="shared" ref="I137" si="124">H137/4.9</f>
        <v>0</v>
      </c>
    </row>
    <row r="138" spans="1:18" x14ac:dyDescent="0.25">
      <c r="D138" s="11"/>
      <c r="E138" s="5" t="s">
        <v>155</v>
      </c>
      <c r="F138" s="5"/>
      <c r="G138" s="12"/>
    </row>
    <row r="139" spans="1:18" x14ac:dyDescent="0.25">
      <c r="D139" s="13"/>
      <c r="E139" s="5"/>
      <c r="F139" s="5"/>
      <c r="G139" s="14"/>
    </row>
    <row r="140" spans="1:18" x14ac:dyDescent="0.25">
      <c r="D140" s="13"/>
      <c r="E140" s="5"/>
      <c r="F140" s="5"/>
      <c r="G140" s="14"/>
    </row>
    <row r="141" spans="1:18" x14ac:dyDescent="0.25">
      <c r="D141" s="13"/>
      <c r="E141" s="5"/>
      <c r="F141" s="5"/>
      <c r="G141" s="14"/>
    </row>
    <row r="142" spans="1:18" x14ac:dyDescent="0.25">
      <c r="D142" s="13"/>
      <c r="E142" s="5"/>
      <c r="F142" s="5"/>
      <c r="G142" s="14"/>
    </row>
    <row r="143" spans="1:18" hidden="1" x14ac:dyDescent="0.25">
      <c r="E143" s="54"/>
      <c r="F143" s="54"/>
      <c r="G143" s="54"/>
      <c r="H143" s="54"/>
      <c r="I143" s="54"/>
    </row>
    <row r="144" spans="1:18" hidden="1" x14ac:dyDescent="0.25">
      <c r="D144" s="1" t="s">
        <v>687</v>
      </c>
      <c r="E144" s="54" t="s">
        <v>688</v>
      </c>
      <c r="F144" s="54"/>
      <c r="G144" s="54"/>
      <c r="H144" s="54"/>
      <c r="I144" s="54"/>
    </row>
    <row r="145" spans="4:8" hidden="1" x14ac:dyDescent="0.25">
      <c r="D145" s="1" t="s">
        <v>689</v>
      </c>
      <c r="E145" s="1" t="s">
        <v>690</v>
      </c>
      <c r="F145" s="1" t="s">
        <v>691</v>
      </c>
      <c r="G145" s="1" t="s">
        <v>156</v>
      </c>
      <c r="H145" s="1" t="s">
        <v>692</v>
      </c>
    </row>
    <row r="146" spans="4:8" hidden="1" x14ac:dyDescent="0.25">
      <c r="D146" s="1" t="s">
        <v>693</v>
      </c>
      <c r="E146" s="1">
        <f>'DG Bel'!M61+'DG Tab'!M61+'DG Trif'!M61+'DG IMR'!M61+'DG PAL'!M62+'DG PNG'!M61+'DG RV'!M61+'DG Del'!M61+'DG Iac'!M62+'DG Rad'!M62+'DG Tar'!M61+'DG Mir'!M61</f>
        <v>0</v>
      </c>
      <c r="F146" s="1">
        <f>'DG Bel'!N61+'DG Tab'!N61+'DG Trif'!N61+'DG IMR'!N61+'DG PAL'!N62+'DG PNG'!N61+'DG RV'!N61+'DG Del'!N61+'DG Iac'!N62+'DG Rad'!N62+'DG Tar'!N61+'DG Mir'!N61</f>
        <v>0</v>
      </c>
      <c r="G146" s="1">
        <f>'DG Bel'!O61+'DG Tab'!O61+'DG Trif'!O61+'DG IMR'!O61+'DG PAL'!O62+'DG PNG'!O61+'DG RV'!O61+'DG Del'!O61+'DG Iac'!O62+'DG Rad'!O62+'DG Tar'!O61+'DG Mir'!O61</f>
        <v>0</v>
      </c>
      <c r="H146" s="1">
        <v>15</v>
      </c>
    </row>
    <row r="147" spans="4:8" hidden="1" x14ac:dyDescent="0.25">
      <c r="D147" s="1" t="s">
        <v>694</v>
      </c>
      <c r="E147" s="1">
        <f>'DG Bel'!M62+'DG Tab'!M62+'DG Trif'!M62+'DG IMR'!M62+'DG PAL'!M63+'DG PNG'!M62+'DG RV'!M62+'DG Del'!M62+'DG Iac'!M63+'DG Rad'!M63+'DG Tar'!M62+'DG Mir'!M62</f>
        <v>0</v>
      </c>
      <c r="F147" s="1">
        <f>'DG Bel'!N62+'DG Tab'!N62+'DG Trif'!N62+'DG IMR'!N62+'DG PAL'!N63+'DG PNG'!N62+'DG RV'!N62+'DG Del'!N62+'DG Iac'!N63+'DG Rad'!N63+'DG Tar'!N62+'DG Mir'!N62</f>
        <v>0</v>
      </c>
      <c r="G147" s="1">
        <f>'DG Bel'!O62+'DG Tab'!O62+'DG Trif'!O62+'DG IMR'!O62+'DG PAL'!O63+'DG PNG'!O62+'DG RV'!O62+'DG Del'!O62+'DG Iac'!O63+'DG Rad'!O63+'DG Tar'!O62+'DG Mir'!O62</f>
        <v>0</v>
      </c>
      <c r="H147" s="1">
        <v>12</v>
      </c>
    </row>
    <row r="148" spans="4:8" hidden="1" x14ac:dyDescent="0.25">
      <c r="D148" s="1" t="s">
        <v>695</v>
      </c>
      <c r="E148" s="1">
        <f>'DG Bel'!M63+'DG Tab'!M63+'DG Trif'!M63+'DG IMR'!M63+'DG PAL'!M64+'DG PNG'!M63+'DG RV'!M63+'DG Del'!M63+'DG Iac'!M64+'DG Rad'!M64+'DG Tar'!M63+'DG Mir'!M63</f>
        <v>0</v>
      </c>
      <c r="F148" s="1">
        <f>'DG Bel'!N63+'DG Tab'!N63+'DG Trif'!N63+'DG IMR'!N63+'DG PAL'!N64+'DG PNG'!N63+'DG RV'!N63+'DG Del'!N63+'DG Iac'!N64+'DG Rad'!N64+'DG Tar'!N63+'DG Mir'!N63</f>
        <v>0</v>
      </c>
      <c r="G148" s="1">
        <f>'DG Bel'!O63+'DG Tab'!O63+'DG Trif'!O63+'DG IMR'!O63+'DG PAL'!O64+'DG PNG'!O63+'DG RV'!O63+'DG Del'!O63+'DG Iac'!O64+'DG Rad'!O64+'DG Tar'!O63+'DG Mir'!O63</f>
        <v>0</v>
      </c>
      <c r="H148" s="1">
        <v>15</v>
      </c>
    </row>
    <row r="149" spans="4:8" hidden="1" x14ac:dyDescent="0.25">
      <c r="D149" s="1" t="s">
        <v>696</v>
      </c>
      <c r="E149" s="1">
        <f>'DG Bel'!M64+'DG Tab'!M64+'DG Trif'!M64+'DG IMR'!M64+'DG PAL'!M65+'DG PNG'!M64+'DG RV'!M64+'DG Del'!M64+'DG Iac'!M65+'DG Rad'!M65+'DG Tar'!M64+'DG Mir'!M64</f>
        <v>0</v>
      </c>
      <c r="F149" s="1">
        <f>'DG Bel'!N64+'DG Tab'!N64+'DG Trif'!N64+'DG IMR'!N64+'DG PAL'!N65+'DG PNG'!N64+'DG RV'!N64+'DG Del'!N64+'DG Iac'!N65+'DG Rad'!N65+'DG Tar'!N64+'DG Mir'!N64</f>
        <v>0</v>
      </c>
      <c r="G149" s="1">
        <f>'DG Bel'!O64+'DG Tab'!O64+'DG Trif'!O64+'DG IMR'!O64+'DG PAL'!O65+'DG PNG'!O64+'DG RV'!O64+'DG Del'!O64+'DG Iac'!O65+'DG Rad'!O65+'DG Tar'!O64+'DG Mir'!O64</f>
        <v>0</v>
      </c>
      <c r="H149" s="1">
        <v>12</v>
      </c>
    </row>
    <row r="150" spans="4:8" hidden="1" x14ac:dyDescent="0.25">
      <c r="D150" s="1" t="s">
        <v>283</v>
      </c>
      <c r="E150" s="1">
        <f>'DG Bel'!M65+'DG Tab'!M65+'DG Trif'!M65+'DG IMR'!M65+'DG PAL'!M66+'DG PNG'!M65+'DG RV'!M65+'DG Del'!M65+'DG Iac'!M66+'DG Rad'!M66+'DG Tar'!M65+'DG Mir'!M65</f>
        <v>0</v>
      </c>
      <c r="F150" s="1">
        <f>'DG Bel'!N65+'DG Tab'!N65+'DG Trif'!N65+'DG IMR'!N65+'DG PAL'!N66+'DG PNG'!N65+'DG RV'!N65+'DG Del'!N65+'DG Iac'!N66+'DG Rad'!N66+'DG Tar'!N65+'DG Mir'!N65</f>
        <v>0</v>
      </c>
      <c r="G150" s="1">
        <f>'DG Bel'!O65+'DG Tab'!O65+'DG Trif'!O65+'DG IMR'!O65+'DG PAL'!O66+'DG PNG'!O65+'DG RV'!O65+'DG Del'!O65+'DG Iac'!O66+'DG Rad'!O66+'DG Tar'!O65+'DG Mir'!O65</f>
        <v>0</v>
      </c>
      <c r="H150" s="1">
        <v>10</v>
      </c>
    </row>
    <row r="151" spans="4:8" hidden="1" x14ac:dyDescent="0.25"/>
    <row r="152" spans="4:8" hidden="1" x14ac:dyDescent="0.25"/>
    <row r="153" spans="4:8" hidden="1" x14ac:dyDescent="0.25"/>
    <row r="154" spans="4:8" hidden="1" x14ac:dyDescent="0.25">
      <c r="D154" s="13" t="s">
        <v>1875</v>
      </c>
      <c r="E154" s="54">
        <f>SUM(E129+E66+E67)</f>
        <v>0</v>
      </c>
    </row>
    <row r="155" spans="4:8" hidden="1" x14ac:dyDescent="0.25">
      <c r="D155" s="13" t="s">
        <v>1876</v>
      </c>
      <c r="E155" s="54">
        <f>E135-E154</f>
        <v>0</v>
      </c>
    </row>
    <row r="156" spans="4:8" hidden="1" x14ac:dyDescent="0.25">
      <c r="D156" s="13" t="s">
        <v>1877</v>
      </c>
      <c r="E156" s="54">
        <f>E133+E72+E65</f>
        <v>0</v>
      </c>
    </row>
    <row r="157" spans="4:8" hidden="1" x14ac:dyDescent="0.25"/>
  </sheetData>
  <mergeCells count="71">
    <mergeCell ref="A137:D137"/>
    <mergeCell ref="C129:D129"/>
    <mergeCell ref="C130:D130"/>
    <mergeCell ref="H8:I9"/>
    <mergeCell ref="H10:I10"/>
    <mergeCell ref="G8:G10"/>
    <mergeCell ref="C52:D52"/>
    <mergeCell ref="C54:D54"/>
    <mergeCell ref="B55:D55"/>
    <mergeCell ref="B56:D56"/>
    <mergeCell ref="C127:D127"/>
    <mergeCell ref="A136:D136"/>
    <mergeCell ref="C73:D73"/>
    <mergeCell ref="C75:D75"/>
    <mergeCell ref="C88:D88"/>
    <mergeCell ref="C126:D126"/>
    <mergeCell ref="F1:G1"/>
    <mergeCell ref="A3:I3"/>
    <mergeCell ref="A4:I4"/>
    <mergeCell ref="A5:I5"/>
    <mergeCell ref="A2:C2"/>
    <mergeCell ref="C6:D6"/>
    <mergeCell ref="B57:D57"/>
    <mergeCell ref="A7:C7"/>
    <mergeCell ref="B8:D11"/>
    <mergeCell ref="E8:F10"/>
    <mergeCell ref="C13:D13"/>
    <mergeCell ref="C15:D15"/>
    <mergeCell ref="C16:D16"/>
    <mergeCell ref="C43:D43"/>
    <mergeCell ref="C46:D46"/>
    <mergeCell ref="C45:D45"/>
    <mergeCell ref="B44:D44"/>
    <mergeCell ref="B14:D14"/>
    <mergeCell ref="B47:D47"/>
    <mergeCell ref="C48:D48"/>
    <mergeCell ref="B12:D12"/>
    <mergeCell ref="C134:D134"/>
    <mergeCell ref="C133:D133"/>
    <mergeCell ref="C124:D124"/>
    <mergeCell ref="C123:D123"/>
    <mergeCell ref="C120:D120"/>
    <mergeCell ref="A135:D135"/>
    <mergeCell ref="C49:D49"/>
    <mergeCell ref="C50:D50"/>
    <mergeCell ref="C51:D51"/>
    <mergeCell ref="C53:D53"/>
    <mergeCell ref="B71:D71"/>
    <mergeCell ref="B58:D58"/>
    <mergeCell ref="B59:D59"/>
    <mergeCell ref="B60:D60"/>
    <mergeCell ref="B61:D61"/>
    <mergeCell ref="B62:D62"/>
    <mergeCell ref="B63:D63"/>
    <mergeCell ref="B64:D64"/>
    <mergeCell ref="B67:D67"/>
    <mergeCell ref="B68:D68"/>
    <mergeCell ref="C132:D132"/>
    <mergeCell ref="H7:I7"/>
    <mergeCell ref="B72:D72"/>
    <mergeCell ref="C125:D125"/>
    <mergeCell ref="B69:D69"/>
    <mergeCell ref="B70:D70"/>
    <mergeCell ref="C65:D65"/>
    <mergeCell ref="C66:D66"/>
    <mergeCell ref="C117:D117"/>
    <mergeCell ref="C116:D116"/>
    <mergeCell ref="C115:D115"/>
    <mergeCell ref="C114:D114"/>
    <mergeCell ref="C119:D119"/>
    <mergeCell ref="B118:D118"/>
  </mergeCells>
  <phoneticPr fontId="15" type="noConversion"/>
  <pageMargins left="0.78740157480314965" right="0.59055118110236227" top="0.59055118110236227" bottom="0.78740157480314965" header="0" footer="0"/>
  <pageSetup paperSize="9" scale="76" orientation="portrait" r:id="rId1"/>
  <ignoredErrors>
    <ignoredError sqref="F63:I63 F55:I55 H16 F88:I88 F101:I101 H122 F29:I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9889-B079-490E-A30F-D77C1713F35D}">
  <dimension ref="A1:O100"/>
  <sheetViews>
    <sheetView view="pageBreakPreview" topLeftCell="A71" zoomScale="140" zoomScaleNormal="100" zoomScaleSheetLayoutView="140" workbookViewId="0">
      <selection activeCell="H49" sqref="H49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" style="1" customWidth="1"/>
    <col min="13" max="13" width="12.3984375" style="1" customWidth="1"/>
    <col min="14" max="14" width="10.59765625" style="1" customWidth="1"/>
    <col min="15" max="15" width="11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DG!D83</f>
        <v>Statia 110/20 kV Delnita, jud. SV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:F24" si="2">ROUND(E17/$F$7,2)</f>
        <v>0</v>
      </c>
      <c r="G17" s="9">
        <f t="shared" ref="G17:G24" si="3">ROUND(E17*$K$3,2)</f>
        <v>0</v>
      </c>
      <c r="H17" s="9">
        <f t="shared" ref="H17:H24" si="4">E17+G17</f>
        <v>0</v>
      </c>
      <c r="I17" s="9">
        <f t="shared" ref="I17:I24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'(8)F1 Del'!H17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'(8)F1 Del'!H18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'(8)F1 Del'!H19</f>
        <v>0</v>
      </c>
      <c r="F20" s="8">
        <f t="shared" ref="F20:F21" si="6">ROUND(E20/$F$7,2)</f>
        <v>0</v>
      </c>
      <c r="G20" s="8">
        <f t="shared" ref="G20:G21" si="7">ROUND(E20*$K$3,2)</f>
        <v>0</v>
      </c>
      <c r="H20" s="8">
        <f t="shared" ref="H20:H21" si="8">E20+G20</f>
        <v>0</v>
      </c>
      <c r="I20" s="8">
        <f t="shared" ref="I20:I21" si="9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'(8)F1 Del'!H20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'(8)F1 Del'!C37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'(4)F1 IMR'!B42</f>
        <v xml:space="preserve">              Lucrari protectia mediului</v>
      </c>
      <c r="D23" s="273"/>
      <c r="E23" s="8">
        <f>'(8)F1 Del'!C39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8">
        <f t="shared" si="5"/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1">F16++F17+F22+F24</f>
        <v>0</v>
      </c>
      <c r="G25" s="26">
        <f t="shared" si="11"/>
        <v>0</v>
      </c>
      <c r="H25" s="26">
        <f t="shared" si="11"/>
        <v>0</v>
      </c>
      <c r="I25" s="26">
        <f t="shared" si="11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2">ROUND(E27/$F$7,2)</f>
        <v>0</v>
      </c>
      <c r="G27" s="8">
        <f t="shared" ref="G27" si="13">ROUND(E27*$K$3,2)</f>
        <v>0</v>
      </c>
      <c r="H27" s="8">
        <f t="shared" ref="H27" si="14">E27+G27</f>
        <v>0</v>
      </c>
      <c r="I27" s="8">
        <f t="shared" ref="I27" si="15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16">F27</f>
        <v>0</v>
      </c>
      <c r="G28" s="26">
        <f t="shared" si="16"/>
        <v>0</v>
      </c>
      <c r="H28" s="26">
        <f t="shared" si="16"/>
        <v>0</v>
      </c>
      <c r="I28" s="26">
        <f t="shared" si="16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17">SUM(F31:F33)</f>
        <v>0</v>
      </c>
      <c r="G30" s="27">
        <f t="shared" si="17"/>
        <v>0</v>
      </c>
      <c r="H30" s="27">
        <f t="shared" si="17"/>
        <v>0</v>
      </c>
      <c r="I30" s="27">
        <f t="shared" si="17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18">ROUND(E31/$F$7,2)</f>
        <v>0</v>
      </c>
      <c r="G31" s="8">
        <f t="shared" ref="G31:G36" si="19">ROUND(E31*$K$3,2)</f>
        <v>0</v>
      </c>
      <c r="H31" s="8">
        <f t="shared" ref="H31:H36" si="20">E31+G31</f>
        <v>0</v>
      </c>
      <c r="I31" s="8">
        <f t="shared" ref="I31:I36" si="21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18"/>
        <v>0</v>
      </c>
      <c r="G32" s="8">
        <f t="shared" si="19"/>
        <v>0</v>
      </c>
      <c r="H32" s="8">
        <f t="shared" si="20"/>
        <v>0</v>
      </c>
      <c r="I32" s="8">
        <f t="shared" si="21"/>
        <v>0</v>
      </c>
    </row>
    <row r="33" spans="1:13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18"/>
        <v>0</v>
      </c>
      <c r="G33" s="8">
        <f t="shared" si="19"/>
        <v>0</v>
      </c>
      <c r="H33" s="8">
        <f t="shared" si="20"/>
        <v>0</v>
      </c>
      <c r="I33" s="8">
        <f t="shared" si="21"/>
        <v>0</v>
      </c>
    </row>
    <row r="34" spans="1:13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18"/>
        <v>0</v>
      </c>
      <c r="G34" s="8">
        <f t="shared" si="19"/>
        <v>0</v>
      </c>
      <c r="H34" s="8">
        <f t="shared" si="20"/>
        <v>0</v>
      </c>
      <c r="I34" s="8">
        <f t="shared" si="21"/>
        <v>0</v>
      </c>
      <c r="J34" s="7">
        <v>1</v>
      </c>
    </row>
    <row r="35" spans="1:13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18"/>
        <v>0</v>
      </c>
      <c r="G35" s="8">
        <f t="shared" si="19"/>
        <v>0</v>
      </c>
      <c r="H35" s="8">
        <f t="shared" si="20"/>
        <v>0</v>
      </c>
      <c r="I35" s="8">
        <f t="shared" si="21"/>
        <v>0</v>
      </c>
      <c r="J35" s="7">
        <v>0</v>
      </c>
    </row>
    <row r="36" spans="1:13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18"/>
        <v>0</v>
      </c>
      <c r="G36" s="8">
        <f t="shared" si="19"/>
        <v>0</v>
      </c>
      <c r="H36" s="8">
        <f t="shared" si="20"/>
        <v>0</v>
      </c>
      <c r="I36" s="8">
        <f t="shared" si="21"/>
        <v>0</v>
      </c>
      <c r="J36" s="7"/>
    </row>
    <row r="37" spans="1:13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2">SUM(F38:F43)</f>
        <v>0</v>
      </c>
      <c r="G37" s="36">
        <f t="shared" si="22"/>
        <v>0</v>
      </c>
      <c r="H37" s="36">
        <f t="shared" si="22"/>
        <v>0</v>
      </c>
      <c r="I37" s="36">
        <f t="shared" si="22"/>
        <v>0</v>
      </c>
      <c r="J37" s="7"/>
    </row>
    <row r="38" spans="1:13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3">ROUND(E38/$F$7,2)</f>
        <v>0</v>
      </c>
      <c r="G38" s="8">
        <f t="shared" ref="G38:G43" si="24">ROUND(E38*$K$3,2)</f>
        <v>0</v>
      </c>
      <c r="H38" s="8">
        <f t="shared" ref="H38:H44" si="25">E38+G38</f>
        <v>0</v>
      </c>
      <c r="I38" s="8">
        <f t="shared" ref="I38:I44" si="26">ROUND(G38/$F$7,2)+F38</f>
        <v>0</v>
      </c>
      <c r="J38" s="7"/>
    </row>
    <row r="39" spans="1:13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3"/>
        <v>0</v>
      </c>
      <c r="G39" s="8">
        <f t="shared" si="24"/>
        <v>0</v>
      </c>
      <c r="H39" s="8">
        <f t="shared" si="25"/>
        <v>0</v>
      </c>
      <c r="I39" s="8">
        <f t="shared" si="26"/>
        <v>0</v>
      </c>
      <c r="J39" s="7"/>
    </row>
    <row r="40" spans="1:13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3"/>
        <v>0</v>
      </c>
      <c r="G40" s="8">
        <f t="shared" si="24"/>
        <v>0</v>
      </c>
      <c r="H40" s="8">
        <f t="shared" si="25"/>
        <v>0</v>
      </c>
      <c r="I40" s="8">
        <f t="shared" si="26"/>
        <v>0</v>
      </c>
      <c r="J40" s="7"/>
    </row>
    <row r="41" spans="1:13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3"/>
        <v>0</v>
      </c>
      <c r="G41" s="8">
        <f t="shared" si="24"/>
        <v>0</v>
      </c>
      <c r="H41" s="8">
        <f t="shared" si="25"/>
        <v>0</v>
      </c>
      <c r="I41" s="8">
        <f t="shared" si="26"/>
        <v>0</v>
      </c>
      <c r="J41" s="7"/>
      <c r="M41" s="184"/>
    </row>
    <row r="42" spans="1:13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3"/>
        <v>0</v>
      </c>
      <c r="G42" s="8">
        <f t="shared" si="24"/>
        <v>0</v>
      </c>
      <c r="H42" s="8">
        <f t="shared" si="25"/>
        <v>0</v>
      </c>
      <c r="I42" s="8">
        <f t="shared" si="26"/>
        <v>0</v>
      </c>
      <c r="J42" s="7"/>
    </row>
    <row r="43" spans="1:13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3"/>
        <v>0</v>
      </c>
      <c r="G43" s="8">
        <f t="shared" si="24"/>
        <v>0</v>
      </c>
      <c r="H43" s="8">
        <f t="shared" si="25"/>
        <v>0</v>
      </c>
      <c r="I43" s="8">
        <f t="shared" si="26"/>
        <v>0</v>
      </c>
      <c r="J43" s="7">
        <v>4</v>
      </c>
    </row>
    <row r="44" spans="1:13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3"/>
        <v>0</v>
      </c>
      <c r="G44" s="8">
        <v>0</v>
      </c>
      <c r="H44" s="8">
        <f t="shared" si="25"/>
        <v>0</v>
      </c>
      <c r="I44" s="8">
        <f t="shared" si="26"/>
        <v>0</v>
      </c>
      <c r="J44" s="7"/>
    </row>
    <row r="45" spans="1:13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3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27">F47+F48</f>
        <v>0</v>
      </c>
      <c r="G46" s="33">
        <f t="shared" si="27"/>
        <v>0</v>
      </c>
      <c r="H46" s="33">
        <f t="shared" si="27"/>
        <v>0</v>
      </c>
      <c r="I46" s="33">
        <f t="shared" si="27"/>
        <v>0</v>
      </c>
      <c r="J46" s="61"/>
    </row>
    <row r="47" spans="1:13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9" si="28">ROUND(E47/$F$7,2)</f>
        <v>0</v>
      </c>
      <c r="G47" s="8">
        <v>0</v>
      </c>
      <c r="H47" s="8">
        <f t="shared" ref="H47:H49" si="29">E47+G47</f>
        <v>0</v>
      </c>
      <c r="I47" s="8">
        <f t="shared" ref="I47:I49" si="30">ROUND(G47/$F$7,2)+F47</f>
        <v>0</v>
      </c>
      <c r="J47" s="61"/>
    </row>
    <row r="48" spans="1:13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28"/>
        <v>0</v>
      </c>
      <c r="G48" s="8">
        <f t="shared" ref="G48:G49" si="31">ROUND(E48*$K$3,2)</f>
        <v>0</v>
      </c>
      <c r="H48" s="8">
        <f t="shared" si="29"/>
        <v>0</v>
      </c>
      <c r="I48" s="8">
        <f t="shared" si="30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si="28"/>
        <v>0</v>
      </c>
      <c r="G49" s="8">
        <f t="shared" si="31"/>
        <v>0</v>
      </c>
      <c r="H49" s="8">
        <f t="shared" si="29"/>
        <v>0</v>
      </c>
      <c r="I49" s="8">
        <f t="shared" si="30"/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32">F51+F54</f>
        <v>0</v>
      </c>
      <c r="G50" s="36">
        <f t="shared" si="32"/>
        <v>0</v>
      </c>
      <c r="H50" s="36">
        <f t="shared" si="32"/>
        <v>0</v>
      </c>
      <c r="I50" s="36">
        <f t="shared" si="32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33">F53+F52</f>
        <v>0</v>
      </c>
      <c r="G51" s="36">
        <f t="shared" si="33"/>
        <v>0</v>
      </c>
      <c r="H51" s="36">
        <f t="shared" si="33"/>
        <v>0</v>
      </c>
      <c r="I51" s="36">
        <f t="shared" si="33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34">ROUND(E52/$F$7,2)</f>
        <v>0</v>
      </c>
      <c r="G52" s="8">
        <f t="shared" ref="G52:G53" si="35">ROUND(E52*$K$3,2)</f>
        <v>0</v>
      </c>
      <c r="H52" s="8">
        <f t="shared" ref="H52:H54" si="36">E52+G52</f>
        <v>0</v>
      </c>
      <c r="I52" s="8">
        <f t="shared" ref="I52:I54" si="37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34"/>
        <v>0</v>
      </c>
      <c r="G53" s="8">
        <f t="shared" si="35"/>
        <v>0</v>
      </c>
      <c r="H53" s="8">
        <f t="shared" si="36"/>
        <v>0</v>
      </c>
      <c r="I53" s="8">
        <f t="shared" si="37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34"/>
        <v>0</v>
      </c>
      <c r="G54" s="8">
        <v>0</v>
      </c>
      <c r="H54" s="8">
        <f t="shared" si="36"/>
        <v>0</v>
      </c>
      <c r="I54" s="8">
        <f t="shared" si="37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>ROUND(E57/$F$7,2)</f>
        <v>0</v>
      </c>
      <c r="G57" s="9">
        <f t="shared" ref="G57:G75" si="38">ROUND(E57*$K$3,2)</f>
        <v>0</v>
      </c>
      <c r="H57" s="9">
        <f t="shared" ref="H57:H75" si="39">E57+G57</f>
        <v>0</v>
      </c>
      <c r="I57" s="9">
        <f t="shared" ref="I57:I75" si="40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'(8)F1 Del'!H52</f>
        <v>0</v>
      </c>
      <c r="F58" s="8">
        <f t="shared" ref="F58:F75" si="41">ROUND(E58/$F$7,2)</f>
        <v>0</v>
      </c>
      <c r="G58" s="8">
        <f t="shared" si="38"/>
        <v>0</v>
      </c>
      <c r="H58" s="8">
        <f t="shared" si="39"/>
        <v>0</v>
      </c>
      <c r="I58" s="8">
        <f t="shared" si="40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'(8)F1 Del'!H53</f>
        <v>0</v>
      </c>
      <c r="F59" s="8">
        <f t="shared" si="41"/>
        <v>0</v>
      </c>
      <c r="G59" s="8">
        <f t="shared" si="38"/>
        <v>0</v>
      </c>
      <c r="H59" s="8">
        <f t="shared" si="39"/>
        <v>0</v>
      </c>
      <c r="I59" s="8">
        <f t="shared" si="40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'(8)F1 Del'!H54</f>
        <v>0</v>
      </c>
      <c r="F60" s="8">
        <f t="shared" si="41"/>
        <v>0</v>
      </c>
      <c r="G60" s="8">
        <f t="shared" si="38"/>
        <v>0</v>
      </c>
      <c r="H60" s="8">
        <f t="shared" si="39"/>
        <v>0</v>
      </c>
      <c r="I60" s="8">
        <f t="shared" si="40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'(8)F1 Del'!H55</f>
        <v>0</v>
      </c>
      <c r="F61" s="8">
        <f t="shared" si="41"/>
        <v>0</v>
      </c>
      <c r="G61" s="8">
        <f t="shared" si="38"/>
        <v>0</v>
      </c>
      <c r="H61" s="8">
        <f t="shared" si="39"/>
        <v>0</v>
      </c>
      <c r="I61" s="8">
        <f t="shared" si="40"/>
        <v>0</v>
      </c>
    </row>
    <row r="62" spans="1:10" x14ac:dyDescent="0.25">
      <c r="A62" s="40"/>
      <c r="B62" s="107"/>
      <c r="C62" s="270" t="s">
        <v>158</v>
      </c>
      <c r="D62" s="271"/>
      <c r="E62" s="33">
        <f>'(8)F1 Del'!H56</f>
        <v>0</v>
      </c>
      <c r="F62" s="8">
        <f t="shared" si="41"/>
        <v>0</v>
      </c>
      <c r="G62" s="8">
        <f t="shared" si="38"/>
        <v>0</v>
      </c>
      <c r="H62" s="8">
        <f t="shared" si="39"/>
        <v>0</v>
      </c>
      <c r="I62" s="8">
        <f t="shared" si="40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1"/>
        <v>0</v>
      </c>
      <c r="G63" s="9">
        <f t="shared" si="38"/>
        <v>0</v>
      </c>
      <c r="H63" s="9">
        <f t="shared" si="39"/>
        <v>0</v>
      </c>
      <c r="I63" s="9">
        <f t="shared" si="40"/>
        <v>0</v>
      </c>
    </row>
    <row r="64" spans="1:10" x14ac:dyDescent="0.25">
      <c r="A64" s="46"/>
      <c r="B64" s="28"/>
      <c r="C64" s="272" t="s">
        <v>682</v>
      </c>
      <c r="D64" s="273"/>
      <c r="E64" s="33">
        <f>'(8)F1 Del'!H102</f>
        <v>0</v>
      </c>
      <c r="F64" s="8">
        <f t="shared" si="41"/>
        <v>0</v>
      </c>
      <c r="G64" s="8">
        <f t="shared" si="38"/>
        <v>0</v>
      </c>
      <c r="H64" s="8">
        <f t="shared" si="39"/>
        <v>0</v>
      </c>
      <c r="I64" s="8">
        <f t="shared" si="40"/>
        <v>0</v>
      </c>
    </row>
    <row r="65" spans="1:10" x14ac:dyDescent="0.25">
      <c r="A65" s="46"/>
      <c r="B65" s="28"/>
      <c r="C65" s="272" t="s">
        <v>683</v>
      </c>
      <c r="D65" s="273"/>
      <c r="E65" s="33">
        <f>'(8)F1 Del'!H103</f>
        <v>0</v>
      </c>
      <c r="F65" s="8">
        <f t="shared" si="41"/>
        <v>0</v>
      </c>
      <c r="G65" s="8">
        <f t="shared" si="38"/>
        <v>0</v>
      </c>
      <c r="H65" s="8">
        <f t="shared" si="39"/>
        <v>0</v>
      </c>
      <c r="I65" s="8">
        <f t="shared" si="40"/>
        <v>0</v>
      </c>
    </row>
    <row r="66" spans="1:10" x14ac:dyDescent="0.25">
      <c r="A66" s="40"/>
      <c r="B66" s="107"/>
      <c r="C66" s="272" t="s">
        <v>684</v>
      </c>
      <c r="D66" s="273"/>
      <c r="E66" s="33">
        <f>'(8)F1 Del'!H104</f>
        <v>0</v>
      </c>
      <c r="F66" s="8">
        <f t="shared" si="41"/>
        <v>0</v>
      </c>
      <c r="G66" s="8">
        <f t="shared" si="38"/>
        <v>0</v>
      </c>
      <c r="H66" s="8">
        <f t="shared" si="39"/>
        <v>0</v>
      </c>
      <c r="I66" s="8">
        <f t="shared" si="40"/>
        <v>0</v>
      </c>
    </row>
    <row r="67" spans="1:10" x14ac:dyDescent="0.25">
      <c r="A67" s="40"/>
      <c r="B67" s="107"/>
      <c r="C67" s="272" t="s">
        <v>685</v>
      </c>
      <c r="D67" s="273"/>
      <c r="E67" s="33">
        <f>'(8)F1 Del'!H105</f>
        <v>0</v>
      </c>
      <c r="F67" s="8">
        <f t="shared" si="41"/>
        <v>0</v>
      </c>
      <c r="G67" s="8">
        <f t="shared" si="38"/>
        <v>0</v>
      </c>
      <c r="H67" s="8">
        <f t="shared" si="39"/>
        <v>0</v>
      </c>
      <c r="I67" s="8">
        <f t="shared" si="40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1"/>
        <v>0</v>
      </c>
      <c r="G68" s="9">
        <f t="shared" si="38"/>
        <v>0</v>
      </c>
      <c r="H68" s="9">
        <f t="shared" si="39"/>
        <v>0</v>
      </c>
      <c r="I68" s="9">
        <f t="shared" si="40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'(8)F1 Del'!H118</f>
        <v>0</v>
      </c>
      <c r="F69" s="8">
        <f t="shared" si="41"/>
        <v>0</v>
      </c>
      <c r="G69" s="8">
        <f t="shared" si="38"/>
        <v>0</v>
      </c>
      <c r="H69" s="8">
        <f t="shared" si="39"/>
        <v>0</v>
      </c>
      <c r="I69" s="8">
        <f t="shared" si="40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'(8)F1 Del'!H119</f>
        <v>0</v>
      </c>
      <c r="F70" s="8">
        <f t="shared" si="41"/>
        <v>0</v>
      </c>
      <c r="G70" s="8">
        <f t="shared" si="38"/>
        <v>0</v>
      </c>
      <c r="H70" s="8">
        <f t="shared" si="39"/>
        <v>0</v>
      </c>
      <c r="I70" s="8">
        <f t="shared" si="40"/>
        <v>0</v>
      </c>
    </row>
    <row r="71" spans="1:10" x14ac:dyDescent="0.25">
      <c r="A71" s="53"/>
      <c r="B71" s="114"/>
      <c r="C71" s="272" t="s">
        <v>684</v>
      </c>
      <c r="D71" s="273"/>
      <c r="E71" s="33">
        <f>'(8)F1 Del'!H120</f>
        <v>0</v>
      </c>
      <c r="F71" s="8">
        <f t="shared" si="41"/>
        <v>0</v>
      </c>
      <c r="G71" s="8">
        <f t="shared" si="38"/>
        <v>0</v>
      </c>
      <c r="H71" s="8">
        <f t="shared" si="39"/>
        <v>0</v>
      </c>
      <c r="I71" s="8">
        <f t="shared" si="40"/>
        <v>0</v>
      </c>
    </row>
    <row r="72" spans="1:10" x14ac:dyDescent="0.25">
      <c r="A72" s="53"/>
      <c r="B72" s="114"/>
      <c r="C72" s="272" t="s">
        <v>685</v>
      </c>
      <c r="D72" s="273"/>
      <c r="E72" s="33">
        <f>'(8)F1 Del'!H121</f>
        <v>0</v>
      </c>
      <c r="F72" s="8">
        <f t="shared" si="41"/>
        <v>0</v>
      </c>
      <c r="G72" s="8">
        <f t="shared" si="38"/>
        <v>0</v>
      </c>
      <c r="H72" s="8">
        <f t="shared" si="39"/>
        <v>0</v>
      </c>
      <c r="I72" s="8">
        <f t="shared" si="40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si="41"/>
        <v>0</v>
      </c>
      <c r="G73" s="8">
        <f t="shared" si="38"/>
        <v>0</v>
      </c>
      <c r="H73" s="8">
        <f t="shared" si="39"/>
        <v>0</v>
      </c>
      <c r="I73" s="8">
        <f t="shared" si="40"/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41"/>
        <v>0</v>
      </c>
      <c r="G74" s="8">
        <f t="shared" si="38"/>
        <v>0</v>
      </c>
      <c r="H74" s="8">
        <f t="shared" si="39"/>
        <v>0</v>
      </c>
      <c r="I74" s="8">
        <f t="shared" si="40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41"/>
        <v>0</v>
      </c>
      <c r="G75" s="8">
        <f t="shared" si="38"/>
        <v>0</v>
      </c>
      <c r="H75" s="8">
        <f t="shared" si="39"/>
        <v>0</v>
      </c>
      <c r="I75" s="8">
        <f t="shared" si="40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42">SUM(F79:F80)</f>
        <v>0</v>
      </c>
      <c r="G78" s="29">
        <f t="shared" si="42"/>
        <v>0</v>
      </c>
      <c r="H78" s="29">
        <f t="shared" si="42"/>
        <v>0</v>
      </c>
      <c r="I78" s="29">
        <f t="shared" si="42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43">ROUND(E79/$F$7,2)</f>
        <v>0</v>
      </c>
      <c r="G79" s="8">
        <f t="shared" ref="G79:G80" si="44">ROUND(E79*$K$3,2)</f>
        <v>0</v>
      </c>
      <c r="H79" s="8">
        <f t="shared" ref="H79:H80" si="45">E79+G79</f>
        <v>0</v>
      </c>
      <c r="I79" s="8">
        <f t="shared" ref="I79:I80" si="46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43"/>
        <v>0</v>
      </c>
      <c r="G80" s="8">
        <f t="shared" si="44"/>
        <v>0</v>
      </c>
      <c r="H80" s="8">
        <f t="shared" si="45"/>
        <v>0</v>
      </c>
      <c r="I80" s="8">
        <f t="shared" si="46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47">SUM(F82:F86)</f>
        <v>0</v>
      </c>
      <c r="G81" s="27">
        <f t="shared" si="47"/>
        <v>0</v>
      </c>
      <c r="H81" s="27">
        <f t="shared" si="47"/>
        <v>0</v>
      </c>
      <c r="I81" s="27">
        <f t="shared" si="47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48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>E83/4.9</f>
        <v>0</v>
      </c>
      <c r="G83" s="8">
        <v>0</v>
      </c>
      <c r="H83" s="8">
        <f t="shared" ref="H83:H88" si="49">E83+G83</f>
        <v>0</v>
      </c>
      <c r="I83" s="8">
        <f t="shared" ref="I83:I88" si="50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ref="F84:F86" si="51">E84/4.9</f>
        <v>0</v>
      </c>
      <c r="G84" s="8">
        <v>0</v>
      </c>
      <c r="H84" s="8">
        <f t="shared" si="49"/>
        <v>0</v>
      </c>
      <c r="I84" s="8">
        <f t="shared" si="50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51"/>
        <v>0</v>
      </c>
      <c r="G85" s="8">
        <v>0</v>
      </c>
      <c r="H85" s="8">
        <f t="shared" si="49"/>
        <v>0</v>
      </c>
      <c r="I85" s="8">
        <f t="shared" si="50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51"/>
        <v>0</v>
      </c>
      <c r="G86" s="8">
        <f>E86*0</f>
        <v>0</v>
      </c>
      <c r="H86" s="8">
        <f t="shared" si="49"/>
        <v>0</v>
      </c>
      <c r="I86" s="8">
        <f t="shared" si="50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ref="F87:F88" si="52">ROUND(E87/$F$7,2)</f>
        <v>0</v>
      </c>
      <c r="G87" s="8">
        <f t="shared" ref="G87:G88" si="53">ROUND(E87*$K$3,2)</f>
        <v>0</v>
      </c>
      <c r="H87" s="8">
        <f t="shared" si="49"/>
        <v>0</v>
      </c>
      <c r="I87" s="8">
        <f t="shared" si="50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52"/>
        <v>0</v>
      </c>
      <c r="G88" s="8">
        <f t="shared" si="53"/>
        <v>0</v>
      </c>
      <c r="H88" s="8">
        <f t="shared" si="49"/>
        <v>0</v>
      </c>
      <c r="I88" s="8">
        <f t="shared" si="50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54">F78+F81+F87+F88</f>
        <v>0</v>
      </c>
      <c r="G89" s="31">
        <f t="shared" si="54"/>
        <v>0</v>
      </c>
      <c r="H89" s="31">
        <f t="shared" si="54"/>
        <v>0</v>
      </c>
      <c r="I89" s="31">
        <f t="shared" si="54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55">ROUND(E91/$F$7,2)</f>
        <v>0</v>
      </c>
      <c r="G91" s="8">
        <f t="shared" ref="G91" si="56">ROUND(E91*$K$3,2)</f>
        <v>0</v>
      </c>
      <c r="H91" s="8">
        <f t="shared" ref="H91:H92" si="57">E91+G91</f>
        <v>0</v>
      </c>
      <c r="I91" s="8">
        <f t="shared" ref="I91:I92" si="58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55"/>
        <v>0</v>
      </c>
      <c r="G92" s="8">
        <v>0</v>
      </c>
      <c r="H92" s="8">
        <f t="shared" si="57"/>
        <v>0</v>
      </c>
      <c r="I92" s="8">
        <f t="shared" si="58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59">SUM(F91:F92)</f>
        <v>0</v>
      </c>
      <c r="G93" s="30">
        <f t="shared" si="59"/>
        <v>0</v>
      </c>
      <c r="H93" s="30">
        <f t="shared" si="59"/>
        <v>0</v>
      </c>
      <c r="I93" s="30">
        <f t="shared" si="59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60">E95/4.9</f>
        <v>0</v>
      </c>
      <c r="G95" s="21">
        <f t="shared" ref="G95:G96" si="61">E95*0.19</f>
        <v>0</v>
      </c>
      <c r="H95" s="21">
        <f t="shared" ref="H95:H96" si="62">E95+G95</f>
        <v>0</v>
      </c>
      <c r="I95" s="21">
        <f t="shared" ref="I95:I96" si="63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60"/>
        <v>0</v>
      </c>
      <c r="G96" s="21">
        <f t="shared" si="61"/>
        <v>0</v>
      </c>
      <c r="H96" s="21">
        <f t="shared" si="62"/>
        <v>0</v>
      </c>
      <c r="I96" s="21">
        <f t="shared" si="63"/>
        <v>0</v>
      </c>
      <c r="M96" s="1" t="s">
        <v>156</v>
      </c>
      <c r="N96" s="54">
        <f>SUM(N93:N95)</f>
        <v>0</v>
      </c>
      <c r="O96" s="127">
        <f>N96-'(8)F1 Del'!C138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A6:I6"/>
    <mergeCell ref="F1:G1"/>
    <mergeCell ref="A2:C2"/>
    <mergeCell ref="A3:I3"/>
    <mergeCell ref="A4:I4"/>
    <mergeCell ref="A5:I5"/>
    <mergeCell ref="C18:D18"/>
    <mergeCell ref="C7:D7"/>
    <mergeCell ref="A8:C8"/>
    <mergeCell ref="H8:I8"/>
    <mergeCell ref="B9:D12"/>
    <mergeCell ref="E9:F11"/>
    <mergeCell ref="G9:G11"/>
    <mergeCell ref="H9:I10"/>
    <mergeCell ref="H11:I11"/>
    <mergeCell ref="B13:D13"/>
    <mergeCell ref="C14:D14"/>
    <mergeCell ref="B15:D15"/>
    <mergeCell ref="C16:D16"/>
    <mergeCell ref="C17:D17"/>
    <mergeCell ref="C33:D33"/>
    <mergeCell ref="C19:D19"/>
    <mergeCell ref="C21:D21"/>
    <mergeCell ref="C23:D23"/>
    <mergeCell ref="C25:D25"/>
    <mergeCell ref="B26:D26"/>
    <mergeCell ref="C27:D27"/>
    <mergeCell ref="C28:D28"/>
    <mergeCell ref="B29:D29"/>
    <mergeCell ref="C30:D30"/>
    <mergeCell ref="C31:D31"/>
    <mergeCell ref="C32:D32"/>
    <mergeCell ref="C20:D20"/>
    <mergeCell ref="B45:D45"/>
    <mergeCell ref="C34:D34"/>
    <mergeCell ref="C35:D35"/>
    <mergeCell ref="C36:D36"/>
    <mergeCell ref="B37:D37"/>
    <mergeCell ref="B38:D38"/>
    <mergeCell ref="B39:D39"/>
    <mergeCell ref="B40:D40"/>
    <mergeCell ref="B41:D41"/>
    <mergeCell ref="B42:D42"/>
    <mergeCell ref="B43:D43"/>
    <mergeCell ref="B44:D44"/>
    <mergeCell ref="C58:D58"/>
    <mergeCell ref="B46:D46"/>
    <mergeCell ref="C47:D47"/>
    <mergeCell ref="C48:D48"/>
    <mergeCell ref="B49:D49"/>
    <mergeCell ref="B50:D50"/>
    <mergeCell ref="B51:D51"/>
    <mergeCell ref="B52:D52"/>
    <mergeCell ref="B53:D53"/>
    <mergeCell ref="B54:D54"/>
    <mergeCell ref="C55:D55"/>
    <mergeCell ref="C57:D57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9:D69"/>
    <mergeCell ref="C84:D84"/>
    <mergeCell ref="C71:D71"/>
    <mergeCell ref="C72:D72"/>
    <mergeCell ref="C73:D73"/>
    <mergeCell ref="C74:D74"/>
    <mergeCell ref="C75:D75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A96:D96"/>
    <mergeCell ref="C85:D85"/>
    <mergeCell ref="C86:D86"/>
    <mergeCell ref="C88:D88"/>
    <mergeCell ref="C89:D89"/>
    <mergeCell ref="C91:D91"/>
    <mergeCell ref="C92:D92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22:I22 F37:I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1527D-F9D7-466C-9DB0-6E34008B4483}">
  <dimension ref="A1:O100"/>
  <sheetViews>
    <sheetView view="pageBreakPreview" topLeftCell="C38" zoomScale="170" zoomScaleNormal="100" zoomScaleSheetLayoutView="17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.09765625" style="1" customWidth="1"/>
    <col min="13" max="13" width="12.3984375" style="1" customWidth="1"/>
    <col min="14" max="14" width="13.09765625" style="1" customWidth="1"/>
    <col min="15" max="15" width="11.0976562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DG!D84</f>
        <v>Statia 110/20 kV Iacobeni, jud. SV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'(9)F1 Iac'!C15</f>
        <v>0</v>
      </c>
      <c r="F17" s="9">
        <f t="shared" ref="F17:F23" si="2">ROUND(E17/$F$7,2)</f>
        <v>0</v>
      </c>
      <c r="G17" s="9">
        <f t="shared" ref="G17:G23" si="3">ROUND(E17*$K$3,2)</f>
        <v>0</v>
      </c>
      <c r="H17" s="9">
        <f t="shared" ref="H17:H23" si="4">E17+G17</f>
        <v>0</v>
      </c>
      <c r="I17" s="9">
        <f t="shared" ref="I17:I23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'(9)F1 Iac'!H17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'(9)F1 Iac'!H18</f>
        <v>0</v>
      </c>
      <c r="F19" s="8">
        <f t="shared" ref="F19:F21" si="6">ROUND(E19/$F$7,2)</f>
        <v>0</v>
      </c>
      <c r="G19" s="8">
        <f t="shared" ref="G19:G21" si="7">ROUND(E19*$K$3,2)</f>
        <v>0</v>
      </c>
      <c r="H19" s="8">
        <f t="shared" ref="H19:H21" si="8">E19+G19</f>
        <v>0</v>
      </c>
      <c r="I19" s="8">
        <f t="shared" ref="I19:I21" si="9">ROUND(G19/$F$7,2)+F19</f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'(9)F1 Iac'!H19</f>
        <v>0</v>
      </c>
      <c r="F20" s="8">
        <f t="shared" si="6"/>
        <v>0</v>
      </c>
      <c r="G20" s="8">
        <f t="shared" si="7"/>
        <v>0</v>
      </c>
      <c r="H20" s="8">
        <f t="shared" si="8"/>
        <v>0</v>
      </c>
      <c r="I20" s="8">
        <f t="shared" si="9"/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'(9)F1 Iac'!H20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'(9)F1 Iac'!C35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'(9)F1 Iac'!B37</f>
        <v>LUCRARI DE PROTECTIA MEDIULUI</v>
      </c>
      <c r="D23" s="273"/>
      <c r="E23" s="8">
        <f>'(9)F1 Iac'!C37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1">ROUND(E24/$F$7,2)</f>
        <v>0</v>
      </c>
      <c r="G24" s="8">
        <f t="shared" ref="G24" si="12">ROUND(E24*$K$3,2)</f>
        <v>0</v>
      </c>
      <c r="H24" s="8">
        <f t="shared" ref="H24" si="13">E24+G24</f>
        <v>0</v>
      </c>
      <c r="I24" s="8">
        <f t="shared" ref="I24" si="14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5">F16++F17+F22+F24</f>
        <v>0</v>
      </c>
      <c r="G25" s="26">
        <f t="shared" si="15"/>
        <v>0</v>
      </c>
      <c r="H25" s="26">
        <f t="shared" si="15"/>
        <v>0</v>
      </c>
      <c r="I25" s="26">
        <f t="shared" si="15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6">ROUND(E27/$F$7,2)</f>
        <v>0</v>
      </c>
      <c r="G27" s="8">
        <f t="shared" ref="G27" si="17">ROUND(E27*$K$3,2)</f>
        <v>0</v>
      </c>
      <c r="H27" s="8">
        <f t="shared" ref="H27" si="18">E27+G27</f>
        <v>0</v>
      </c>
      <c r="I27" s="8">
        <f t="shared" ref="I27" si="19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20">F27</f>
        <v>0</v>
      </c>
      <c r="G28" s="26">
        <f t="shared" si="20"/>
        <v>0</v>
      </c>
      <c r="H28" s="26">
        <f t="shared" si="20"/>
        <v>0</v>
      </c>
      <c r="I28" s="26">
        <f t="shared" si="20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1">SUM(F31:F33)</f>
        <v>0</v>
      </c>
      <c r="G30" s="27">
        <f t="shared" si="21"/>
        <v>0</v>
      </c>
      <c r="H30" s="27">
        <f t="shared" si="21"/>
        <v>0</v>
      </c>
      <c r="I30" s="27">
        <f t="shared" si="21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2">ROUND(E31/$F$7,2)</f>
        <v>0</v>
      </c>
      <c r="G31" s="8">
        <f t="shared" ref="G31:G36" si="23">ROUND(E31*$K$3,2)</f>
        <v>0</v>
      </c>
      <c r="H31" s="8">
        <f t="shared" ref="H31:H36" si="24">E31+G31</f>
        <v>0</v>
      </c>
      <c r="I31" s="8">
        <f t="shared" ref="I31:I36" si="25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2"/>
        <v>0</v>
      </c>
      <c r="G32" s="8">
        <f t="shared" si="23"/>
        <v>0</v>
      </c>
      <c r="H32" s="8">
        <f t="shared" si="24"/>
        <v>0</v>
      </c>
      <c r="I32" s="8">
        <f t="shared" si="25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2"/>
        <v>0</v>
      </c>
      <c r="G33" s="8">
        <f t="shared" si="23"/>
        <v>0</v>
      </c>
      <c r="H33" s="8">
        <f t="shared" si="24"/>
        <v>0</v>
      </c>
      <c r="I33" s="8">
        <f t="shared" si="25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2"/>
        <v>0</v>
      </c>
      <c r="G34" s="8">
        <f t="shared" si="23"/>
        <v>0</v>
      </c>
      <c r="H34" s="8">
        <f t="shared" si="24"/>
        <v>0</v>
      </c>
      <c r="I34" s="8">
        <f t="shared" si="25"/>
        <v>0</v>
      </c>
      <c r="J34" s="7"/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2"/>
        <v>0</v>
      </c>
      <c r="G35" s="8">
        <f t="shared" si="23"/>
        <v>0</v>
      </c>
      <c r="H35" s="8">
        <f t="shared" si="24"/>
        <v>0</v>
      </c>
      <c r="I35" s="8">
        <f t="shared" si="25"/>
        <v>0</v>
      </c>
      <c r="J35" s="7"/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2"/>
        <v>0</v>
      </c>
      <c r="G36" s="8">
        <f t="shared" si="23"/>
        <v>0</v>
      </c>
      <c r="H36" s="8">
        <f t="shared" si="24"/>
        <v>0</v>
      </c>
      <c r="I36" s="8">
        <f t="shared" si="25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6">SUM(F38:F43)</f>
        <v>0</v>
      </c>
      <c r="G37" s="36">
        <f t="shared" si="26"/>
        <v>0</v>
      </c>
      <c r="H37" s="36">
        <f t="shared" si="26"/>
        <v>0</v>
      </c>
      <c r="I37" s="36">
        <f t="shared" si="26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7">ROUND(E38/$F$7,2)</f>
        <v>0</v>
      </c>
      <c r="G38" s="8">
        <f t="shared" ref="G38:G43" si="28">ROUND(E38*$K$3,2)</f>
        <v>0</v>
      </c>
      <c r="H38" s="8">
        <f t="shared" ref="H38:H44" si="29">E38+G38</f>
        <v>0</v>
      </c>
      <c r="I38" s="8">
        <f t="shared" ref="I38:I44" si="30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7"/>
        <v>0</v>
      </c>
      <c r="G39" s="8">
        <f t="shared" si="28"/>
        <v>0</v>
      </c>
      <c r="H39" s="8">
        <f t="shared" si="29"/>
        <v>0</v>
      </c>
      <c r="I39" s="8">
        <f t="shared" si="30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7"/>
        <v>0</v>
      </c>
      <c r="G40" s="8">
        <f t="shared" si="28"/>
        <v>0</v>
      </c>
      <c r="H40" s="8">
        <f t="shared" si="29"/>
        <v>0</v>
      </c>
      <c r="I40" s="8">
        <f t="shared" si="30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7"/>
        <v>0</v>
      </c>
      <c r="G41" s="8">
        <f t="shared" si="28"/>
        <v>0</v>
      </c>
      <c r="H41" s="8">
        <f t="shared" si="29"/>
        <v>0</v>
      </c>
      <c r="I41" s="8">
        <f t="shared" si="30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7"/>
        <v>0</v>
      </c>
      <c r="G42" s="8">
        <f t="shared" si="28"/>
        <v>0</v>
      </c>
      <c r="H42" s="8">
        <f t="shared" si="29"/>
        <v>0</v>
      </c>
      <c r="I42" s="8">
        <f t="shared" si="30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7"/>
        <v>0</v>
      </c>
      <c r="G43" s="8">
        <f t="shared" si="28"/>
        <v>0</v>
      </c>
      <c r="H43" s="8">
        <f t="shared" si="29"/>
        <v>0</v>
      </c>
      <c r="I43" s="8">
        <f t="shared" si="30"/>
        <v>0</v>
      </c>
      <c r="J43" s="7"/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7"/>
        <v>0</v>
      </c>
      <c r="G44" s="8">
        <v>0</v>
      </c>
      <c r="H44" s="8">
        <f t="shared" si="29"/>
        <v>0</v>
      </c>
      <c r="I44" s="8">
        <f t="shared" si="30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31">F47+F48</f>
        <v>0</v>
      </c>
      <c r="G46" s="33">
        <f t="shared" si="31"/>
        <v>0</v>
      </c>
      <c r="H46" s="33">
        <f t="shared" si="31"/>
        <v>0</v>
      </c>
      <c r="I46" s="33">
        <f t="shared" si="31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2">ROUND(E47/$F$7,2)</f>
        <v>0</v>
      </c>
      <c r="G47" s="8">
        <v>0</v>
      </c>
      <c r="H47" s="8">
        <f t="shared" ref="H47:H48" si="33">E47+G47</f>
        <v>0</v>
      </c>
      <c r="I47" s="8">
        <f t="shared" ref="I47:I48" si="34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2"/>
        <v>0</v>
      </c>
      <c r="G48" s="8">
        <f t="shared" ref="G48" si="35">ROUND(E48*$K$3,2)</f>
        <v>0</v>
      </c>
      <c r="H48" s="8">
        <f t="shared" si="33"/>
        <v>0</v>
      </c>
      <c r="I48" s="8">
        <f t="shared" si="34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36">ROUND(E49/$F$7,2)</f>
        <v>0</v>
      </c>
      <c r="G49" s="8">
        <f t="shared" ref="G49" si="37">ROUND(E49*$K$3,2)</f>
        <v>0</v>
      </c>
      <c r="H49" s="8">
        <f t="shared" ref="H49" si="38">E49+G49</f>
        <v>0</v>
      </c>
      <c r="I49" s="8">
        <f t="shared" ref="I49" si="39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40">F51+F54</f>
        <v>0</v>
      </c>
      <c r="G50" s="36">
        <f t="shared" si="40"/>
        <v>0</v>
      </c>
      <c r="H50" s="36">
        <f t="shared" si="40"/>
        <v>0</v>
      </c>
      <c r="I50" s="36">
        <f t="shared" si="40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1">F53+F52</f>
        <v>0</v>
      </c>
      <c r="G51" s="36">
        <f t="shared" si="41"/>
        <v>0</v>
      </c>
      <c r="H51" s="36">
        <f t="shared" si="41"/>
        <v>0</v>
      </c>
      <c r="I51" s="36">
        <f t="shared" si="41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2">ROUND(E52/$F$7,2)</f>
        <v>0</v>
      </c>
      <c r="G52" s="8">
        <f t="shared" ref="G52:G53" si="43">ROUND(E52*$K$3,2)</f>
        <v>0</v>
      </c>
      <c r="H52" s="8">
        <f t="shared" ref="H52:H54" si="44">E52+G52</f>
        <v>0</v>
      </c>
      <c r="I52" s="8">
        <f t="shared" ref="I52:I54" si="45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42"/>
        <v>0</v>
      </c>
      <c r="G53" s="8">
        <f t="shared" si="43"/>
        <v>0</v>
      </c>
      <c r="H53" s="8">
        <f t="shared" si="44"/>
        <v>0</v>
      </c>
      <c r="I53" s="8">
        <f t="shared" si="45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2"/>
        <v>0</v>
      </c>
      <c r="G54" s="8">
        <v>0</v>
      </c>
      <c r="H54" s="8">
        <f t="shared" si="44"/>
        <v>0</v>
      </c>
      <c r="I54" s="8">
        <f t="shared" si="45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:F72" si="46">ROUND(E57/$F$7,2)</f>
        <v>0</v>
      </c>
      <c r="G57" s="9">
        <f t="shared" ref="G57:G72" si="47">ROUND(E57*$K$3,2)</f>
        <v>0</v>
      </c>
      <c r="H57" s="9">
        <f t="shared" ref="H57:H72" si="48">E57+G57</f>
        <v>0</v>
      </c>
      <c r="I57" s="9">
        <f t="shared" ref="I57:I72" si="49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'(9)F1 Iac'!H50</f>
        <v>0</v>
      </c>
      <c r="F58" s="8">
        <f t="shared" si="46"/>
        <v>0</v>
      </c>
      <c r="G58" s="8">
        <f t="shared" si="47"/>
        <v>0</v>
      </c>
      <c r="H58" s="8">
        <f t="shared" si="48"/>
        <v>0</v>
      </c>
      <c r="I58" s="8">
        <f t="shared" si="49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'(9)F1 Iac'!H51</f>
        <v>0</v>
      </c>
      <c r="F59" s="8">
        <f t="shared" si="46"/>
        <v>0</v>
      </c>
      <c r="G59" s="8">
        <f t="shared" si="47"/>
        <v>0</v>
      </c>
      <c r="H59" s="8">
        <f t="shared" si="48"/>
        <v>0</v>
      </c>
      <c r="I59" s="8">
        <f t="shared" si="49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'(9)F1 Iac'!H52</f>
        <v>0</v>
      </c>
      <c r="F60" s="8">
        <f t="shared" si="46"/>
        <v>0</v>
      </c>
      <c r="G60" s="8">
        <f t="shared" si="47"/>
        <v>0</v>
      </c>
      <c r="H60" s="8">
        <f t="shared" si="48"/>
        <v>0</v>
      </c>
      <c r="I60" s="8">
        <f t="shared" si="49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'(9)F1 Iac'!H53</f>
        <v>0</v>
      </c>
      <c r="F61" s="8">
        <f t="shared" si="46"/>
        <v>0</v>
      </c>
      <c r="G61" s="8">
        <f t="shared" si="47"/>
        <v>0</v>
      </c>
      <c r="H61" s="8">
        <f t="shared" si="48"/>
        <v>0</v>
      </c>
      <c r="I61" s="8">
        <f t="shared" si="49"/>
        <v>0</v>
      </c>
    </row>
    <row r="62" spans="1:10" x14ac:dyDescent="0.25">
      <c r="A62" s="40"/>
      <c r="B62" s="107"/>
      <c r="C62" s="270" t="s">
        <v>158</v>
      </c>
      <c r="D62" s="271"/>
      <c r="E62" s="8">
        <f>'(9)F1 Iac'!H54</f>
        <v>0</v>
      </c>
      <c r="F62" s="8">
        <f t="shared" si="46"/>
        <v>0</v>
      </c>
      <c r="G62" s="8">
        <f t="shared" si="47"/>
        <v>0</v>
      </c>
      <c r="H62" s="8">
        <f t="shared" si="48"/>
        <v>0</v>
      </c>
      <c r="I62" s="8">
        <f t="shared" si="49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6"/>
        <v>0</v>
      </c>
      <c r="G63" s="9">
        <f t="shared" si="47"/>
        <v>0</v>
      </c>
      <c r="H63" s="9">
        <f t="shared" si="48"/>
        <v>0</v>
      </c>
      <c r="I63" s="9">
        <f t="shared" si="49"/>
        <v>0</v>
      </c>
    </row>
    <row r="64" spans="1:10" x14ac:dyDescent="0.25">
      <c r="A64" s="46"/>
      <c r="B64" s="28"/>
      <c r="C64" s="272" t="s">
        <v>682</v>
      </c>
      <c r="D64" s="273"/>
      <c r="E64" s="33">
        <f>'(9)F1 Iac'!H98</f>
        <v>0</v>
      </c>
      <c r="F64" s="8">
        <f t="shared" si="46"/>
        <v>0</v>
      </c>
      <c r="G64" s="8">
        <f t="shared" si="47"/>
        <v>0</v>
      </c>
      <c r="H64" s="8">
        <f t="shared" si="48"/>
        <v>0</v>
      </c>
      <c r="I64" s="8">
        <f t="shared" si="49"/>
        <v>0</v>
      </c>
    </row>
    <row r="65" spans="1:10" x14ac:dyDescent="0.25">
      <c r="A65" s="46"/>
      <c r="B65" s="28"/>
      <c r="C65" s="272" t="s">
        <v>683</v>
      </c>
      <c r="D65" s="273"/>
      <c r="E65" s="33">
        <f>'(9)F1 Iac'!H99</f>
        <v>0</v>
      </c>
      <c r="F65" s="8">
        <f t="shared" si="46"/>
        <v>0</v>
      </c>
      <c r="G65" s="8">
        <f t="shared" si="47"/>
        <v>0</v>
      </c>
      <c r="H65" s="8">
        <f t="shared" si="48"/>
        <v>0</v>
      </c>
      <c r="I65" s="8">
        <f t="shared" si="49"/>
        <v>0</v>
      </c>
    </row>
    <row r="66" spans="1:10" x14ac:dyDescent="0.25">
      <c r="A66" s="40"/>
      <c r="B66" s="107"/>
      <c r="C66" s="272" t="s">
        <v>684</v>
      </c>
      <c r="D66" s="273"/>
      <c r="E66" s="8">
        <f>'(9)F1 Iac'!H100</f>
        <v>0</v>
      </c>
      <c r="F66" s="8">
        <f t="shared" si="46"/>
        <v>0</v>
      </c>
      <c r="G66" s="8">
        <f t="shared" si="47"/>
        <v>0</v>
      </c>
      <c r="H66" s="8">
        <f t="shared" si="48"/>
        <v>0</v>
      </c>
      <c r="I66" s="8">
        <f t="shared" si="49"/>
        <v>0</v>
      </c>
    </row>
    <row r="67" spans="1:10" x14ac:dyDescent="0.25">
      <c r="A67" s="40"/>
      <c r="B67" s="107"/>
      <c r="C67" s="272" t="s">
        <v>685</v>
      </c>
      <c r="D67" s="273"/>
      <c r="E67" s="8">
        <f>'(9)F1 Iac'!H101</f>
        <v>0</v>
      </c>
      <c r="F67" s="8">
        <f t="shared" si="46"/>
        <v>0</v>
      </c>
      <c r="G67" s="8">
        <f t="shared" si="47"/>
        <v>0</v>
      </c>
      <c r="H67" s="8">
        <f t="shared" si="48"/>
        <v>0</v>
      </c>
      <c r="I67" s="8">
        <f t="shared" si="49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6"/>
        <v>0</v>
      </c>
      <c r="G68" s="9">
        <f t="shared" si="47"/>
        <v>0</v>
      </c>
      <c r="H68" s="9">
        <f t="shared" si="48"/>
        <v>0</v>
      </c>
      <c r="I68" s="9">
        <f t="shared" si="49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'(9)F1 Iac'!H113</f>
        <v>0</v>
      </c>
      <c r="F69" s="8">
        <f t="shared" si="46"/>
        <v>0</v>
      </c>
      <c r="G69" s="8">
        <f t="shared" si="47"/>
        <v>0</v>
      </c>
      <c r="H69" s="8">
        <f t="shared" si="48"/>
        <v>0</v>
      </c>
      <c r="I69" s="8">
        <f t="shared" si="49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'(9)F1 Iac'!H114</f>
        <v>0</v>
      </c>
      <c r="F70" s="8">
        <f t="shared" si="46"/>
        <v>0</v>
      </c>
      <c r="G70" s="8">
        <f t="shared" si="47"/>
        <v>0</v>
      </c>
      <c r="H70" s="8">
        <f t="shared" si="48"/>
        <v>0</v>
      </c>
      <c r="I70" s="8">
        <f t="shared" si="49"/>
        <v>0</v>
      </c>
    </row>
    <row r="71" spans="1:10" x14ac:dyDescent="0.25">
      <c r="A71" s="53"/>
      <c r="B71" s="114"/>
      <c r="C71" s="272" t="s">
        <v>684</v>
      </c>
      <c r="D71" s="273"/>
      <c r="E71" s="8">
        <f>'(9)F1 Iac'!H115</f>
        <v>0</v>
      </c>
      <c r="F71" s="8">
        <f t="shared" si="46"/>
        <v>0</v>
      </c>
      <c r="G71" s="8">
        <f t="shared" si="47"/>
        <v>0</v>
      </c>
      <c r="H71" s="8">
        <f t="shared" si="48"/>
        <v>0</v>
      </c>
      <c r="I71" s="8">
        <f t="shared" si="49"/>
        <v>0</v>
      </c>
    </row>
    <row r="72" spans="1:10" x14ac:dyDescent="0.25">
      <c r="A72" s="53"/>
      <c r="B72" s="114"/>
      <c r="C72" s="272" t="s">
        <v>685</v>
      </c>
      <c r="D72" s="273"/>
      <c r="E72" s="8">
        <f>'(9)F1 Iac'!H116</f>
        <v>0</v>
      </c>
      <c r="F72" s="8">
        <f t="shared" si="46"/>
        <v>0</v>
      </c>
      <c r="G72" s="8">
        <f t="shared" si="47"/>
        <v>0</v>
      </c>
      <c r="H72" s="8">
        <f t="shared" si="48"/>
        <v>0</v>
      </c>
      <c r="I72" s="8">
        <f t="shared" si="49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5" si="50">ROUND(E73/$F$7,2)</f>
        <v>0</v>
      </c>
      <c r="G73" s="8">
        <f t="shared" ref="G73:G75" si="51">ROUND(E73*$K$3,2)</f>
        <v>0</v>
      </c>
      <c r="H73" s="8">
        <f t="shared" ref="H73:H75" si="52">E73+G73</f>
        <v>0</v>
      </c>
      <c r="I73" s="8">
        <f t="shared" ref="I73:I75" si="53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50"/>
        <v>0</v>
      </c>
      <c r="G74" s="8">
        <f t="shared" si="51"/>
        <v>0</v>
      </c>
      <c r="H74" s="8">
        <f t="shared" si="52"/>
        <v>0</v>
      </c>
      <c r="I74" s="8">
        <f t="shared" si="53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50"/>
        <v>0</v>
      </c>
      <c r="G75" s="8">
        <f t="shared" si="51"/>
        <v>0</v>
      </c>
      <c r="H75" s="8">
        <f t="shared" si="52"/>
        <v>0</v>
      </c>
      <c r="I75" s="8">
        <f t="shared" si="53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54">SUM(F79:F80)</f>
        <v>0</v>
      </c>
      <c r="G78" s="29">
        <f t="shared" si="54"/>
        <v>0</v>
      </c>
      <c r="H78" s="29">
        <f t="shared" si="54"/>
        <v>0</v>
      </c>
      <c r="I78" s="29">
        <f t="shared" si="54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55">ROUND(E79/$F$7,2)</f>
        <v>0</v>
      </c>
      <c r="G79" s="8">
        <f t="shared" ref="G79:G80" si="56">ROUND(E79*$K$3,2)</f>
        <v>0</v>
      </c>
      <c r="H79" s="8">
        <f t="shared" ref="H79:H80" si="57">E79+G79</f>
        <v>0</v>
      </c>
      <c r="I79" s="8">
        <f t="shared" ref="I79:I80" si="58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55"/>
        <v>0</v>
      </c>
      <c r="G80" s="8">
        <f t="shared" si="56"/>
        <v>0</v>
      </c>
      <c r="H80" s="8">
        <f t="shared" si="57"/>
        <v>0</v>
      </c>
      <c r="I80" s="8">
        <f t="shared" si="58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59">SUM(F82:F86)</f>
        <v>0</v>
      </c>
      <c r="G81" s="27">
        <f t="shared" si="59"/>
        <v>0</v>
      </c>
      <c r="H81" s="27">
        <f t="shared" si="59"/>
        <v>0</v>
      </c>
      <c r="I81" s="27">
        <f t="shared" si="59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60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61">ROUND(E83/$F$7,2)</f>
        <v>0</v>
      </c>
      <c r="G83" s="8">
        <v>0</v>
      </c>
      <c r="H83" s="8">
        <f t="shared" ref="H83:H88" si="62">E83+G83</f>
        <v>0</v>
      </c>
      <c r="I83" s="8">
        <f t="shared" ref="I83:I88" si="63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61"/>
        <v>0</v>
      </c>
      <c r="G84" s="8">
        <v>0</v>
      </c>
      <c r="H84" s="8">
        <f t="shared" si="62"/>
        <v>0</v>
      </c>
      <c r="I84" s="8">
        <f t="shared" si="63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61"/>
        <v>0</v>
      </c>
      <c r="G85" s="8">
        <v>0</v>
      </c>
      <c r="H85" s="8">
        <f t="shared" si="62"/>
        <v>0</v>
      </c>
      <c r="I85" s="8">
        <f t="shared" si="63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61"/>
        <v>0</v>
      </c>
      <c r="G86" s="8">
        <f>E86*0</f>
        <v>0</v>
      </c>
      <c r="H86" s="8">
        <f t="shared" si="62"/>
        <v>0</v>
      </c>
      <c r="I86" s="8">
        <f t="shared" si="63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61"/>
        <v>0</v>
      </c>
      <c r="G87" s="8">
        <f t="shared" ref="G87:G88" si="64">ROUND(E87*$K$3,2)</f>
        <v>0</v>
      </c>
      <c r="H87" s="8">
        <f t="shared" si="62"/>
        <v>0</v>
      </c>
      <c r="I87" s="8">
        <f t="shared" si="63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61"/>
        <v>0</v>
      </c>
      <c r="G88" s="8">
        <f t="shared" si="64"/>
        <v>0</v>
      </c>
      <c r="H88" s="8">
        <f t="shared" si="62"/>
        <v>0</v>
      </c>
      <c r="I88" s="8">
        <f t="shared" si="63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65">F78+F81+F87+F88</f>
        <v>0</v>
      </c>
      <c r="G89" s="31">
        <f t="shared" si="65"/>
        <v>0</v>
      </c>
      <c r="H89" s="31">
        <f t="shared" si="65"/>
        <v>0</v>
      </c>
      <c r="I89" s="31">
        <f t="shared" si="65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66">ROUND(E91/$F$7,2)</f>
        <v>0</v>
      </c>
      <c r="G91" s="8">
        <f t="shared" ref="G91" si="67">ROUND(E91*$K$3,2)</f>
        <v>0</v>
      </c>
      <c r="H91" s="8">
        <f t="shared" ref="H91:H92" si="68">E91+G91</f>
        <v>0</v>
      </c>
      <c r="I91" s="8">
        <f t="shared" ref="I91:I92" si="69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66"/>
        <v>0</v>
      </c>
      <c r="G92" s="8">
        <v>0</v>
      </c>
      <c r="H92" s="8">
        <f t="shared" si="68"/>
        <v>0</v>
      </c>
      <c r="I92" s="8">
        <f t="shared" si="69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70">SUM(F91:F92)</f>
        <v>0</v>
      </c>
      <c r="G93" s="30">
        <f t="shared" si="70"/>
        <v>0</v>
      </c>
      <c r="H93" s="30">
        <f t="shared" si="70"/>
        <v>0</v>
      </c>
      <c r="I93" s="30">
        <f t="shared" si="70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71">E95/4.9</f>
        <v>0</v>
      </c>
      <c r="G95" s="21">
        <f t="shared" ref="G95:G96" si="72">E95*0.19</f>
        <v>0</v>
      </c>
      <c r="H95" s="21">
        <f t="shared" ref="H95:H96" si="73">E95+G95</f>
        <v>0</v>
      </c>
      <c r="I95" s="21">
        <f t="shared" ref="I95:I96" si="74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71"/>
        <v>0</v>
      </c>
      <c r="G96" s="21">
        <f t="shared" si="72"/>
        <v>0</v>
      </c>
      <c r="H96" s="21">
        <f t="shared" si="73"/>
        <v>0</v>
      </c>
      <c r="I96" s="21">
        <f t="shared" si="74"/>
        <v>0</v>
      </c>
      <c r="M96" s="1" t="s">
        <v>156</v>
      </c>
      <c r="N96" s="54">
        <f>SUM(N93:N95)</f>
        <v>0</v>
      </c>
      <c r="O96" s="127">
        <f>N96-'(9)F1 Iac'!C131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92:D92"/>
    <mergeCell ref="C85:D85"/>
    <mergeCell ref="C86:D86"/>
    <mergeCell ref="C88:D88"/>
    <mergeCell ref="C89:D89"/>
    <mergeCell ref="C91:D91"/>
    <mergeCell ref="C74:D74"/>
    <mergeCell ref="C75:D75"/>
    <mergeCell ref="C58:D58"/>
    <mergeCell ref="C59:D59"/>
    <mergeCell ref="C60:D60"/>
    <mergeCell ref="C61:D61"/>
    <mergeCell ref="C73:D73"/>
    <mergeCell ref="B50:D50"/>
    <mergeCell ref="B51:D51"/>
    <mergeCell ref="B52:D52"/>
    <mergeCell ref="B53:D53"/>
    <mergeCell ref="B54:D54"/>
    <mergeCell ref="C72:D72"/>
    <mergeCell ref="B42:D42"/>
    <mergeCell ref="C47:D47"/>
    <mergeCell ref="C48:D48"/>
    <mergeCell ref="C57:D57"/>
    <mergeCell ref="C63:D63"/>
    <mergeCell ref="B37:D37"/>
    <mergeCell ref="B38:D38"/>
    <mergeCell ref="B39:D39"/>
    <mergeCell ref="B40:D40"/>
    <mergeCell ref="B41:D41"/>
    <mergeCell ref="C32:D32"/>
    <mergeCell ref="C33:D33"/>
    <mergeCell ref="C34:D34"/>
    <mergeCell ref="C35:D35"/>
    <mergeCell ref="C36:D36"/>
    <mergeCell ref="C18:D18"/>
    <mergeCell ref="C21:D21"/>
    <mergeCell ref="C23:D23"/>
    <mergeCell ref="C19:D19"/>
    <mergeCell ref="C20:D20"/>
    <mergeCell ref="B13:D13"/>
    <mergeCell ref="C14:D14"/>
    <mergeCell ref="B15:D15"/>
    <mergeCell ref="C16:D16"/>
    <mergeCell ref="C17:D17"/>
    <mergeCell ref="A8:C8"/>
    <mergeCell ref="H8:I8"/>
    <mergeCell ref="B9:D12"/>
    <mergeCell ref="E9:F11"/>
    <mergeCell ref="G9:G11"/>
    <mergeCell ref="H9:I10"/>
    <mergeCell ref="H11:I11"/>
    <mergeCell ref="C7:D7"/>
    <mergeCell ref="F1:G1"/>
    <mergeCell ref="A2:C2"/>
    <mergeCell ref="A3:I3"/>
    <mergeCell ref="A4:I4"/>
    <mergeCell ref="A5:I5"/>
    <mergeCell ref="A6:I6"/>
    <mergeCell ref="A96:D96"/>
    <mergeCell ref="C62:D62"/>
    <mergeCell ref="C64:D64"/>
    <mergeCell ref="C65:D65"/>
    <mergeCell ref="C66:D66"/>
    <mergeCell ref="C67:D67"/>
    <mergeCell ref="C84:D84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C69:D69"/>
    <mergeCell ref="C70:D70"/>
    <mergeCell ref="C71:D71"/>
    <mergeCell ref="C25:D25"/>
    <mergeCell ref="B26:D26"/>
    <mergeCell ref="C27:D27"/>
    <mergeCell ref="C28:D28"/>
    <mergeCell ref="B29:D29"/>
    <mergeCell ref="C30:D30"/>
    <mergeCell ref="C55:D55"/>
    <mergeCell ref="B44:D44"/>
    <mergeCell ref="B45:D45"/>
    <mergeCell ref="B46:D46"/>
    <mergeCell ref="B49:D49"/>
    <mergeCell ref="C31:D31"/>
    <mergeCell ref="B43:D43"/>
  </mergeCells>
  <pageMargins left="0.78740157480314965" right="0.59055118110236227" top="0.59055118110236227" bottom="0.78740157480314965" header="0" footer="0"/>
  <pageSetup paperSize="9" scale="72" orientation="portrait" r:id="rId1"/>
  <rowBreaks count="1" manualBreakCount="1">
    <brk id="100" max="8" man="1"/>
  </rowBreaks>
  <ignoredErrors>
    <ignoredError sqref="F37:I37 F22:I22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01CA-96C9-4295-B0F4-E1FA662B88B9}">
  <dimension ref="A1:O100"/>
  <sheetViews>
    <sheetView view="pageBreakPreview" topLeftCell="A26" zoomScale="170" zoomScaleNormal="100" zoomScaleSheetLayoutView="17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3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.09765625" style="1" customWidth="1"/>
    <col min="13" max="13" width="12.3984375" style="1" customWidth="1"/>
    <col min="14" max="14" width="13.09765625" style="1" customWidth="1"/>
    <col min="15" max="15" width="11.0976562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DG!D85</f>
        <v>Statia 110/6 kV Radiatoare, jud. SV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'(10)F1 Rad'!C15</f>
        <v>0</v>
      </c>
      <c r="F17" s="9">
        <f t="shared" ref="F17:F24" si="2">ROUND(E17/$F$7,2)</f>
        <v>0</v>
      </c>
      <c r="G17" s="9">
        <f t="shared" ref="G17:G24" si="3">ROUND(E17*$K$3,2)</f>
        <v>0</v>
      </c>
      <c r="H17" s="9">
        <f t="shared" ref="H17:H24" si="4">E17+G17</f>
        <v>0</v>
      </c>
      <c r="I17" s="9">
        <f t="shared" ref="I17:I24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'(10)F1 Rad'!H17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'(10)F1 Rad'!H18</f>
        <v>0</v>
      </c>
      <c r="F19" s="8">
        <f t="shared" ref="F19:F21" si="6">ROUND(E19/$F$7,2)</f>
        <v>0</v>
      </c>
      <c r="G19" s="8">
        <f t="shared" ref="G19:G21" si="7">ROUND(E19*$K$3,2)</f>
        <v>0</v>
      </c>
      <c r="H19" s="8">
        <f t="shared" ref="H19:H21" si="8">E19+G19</f>
        <v>0</v>
      </c>
      <c r="I19" s="8">
        <f t="shared" ref="I19:I21" si="9">ROUND(G19/$F$7,2)+F19</f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'(10)F1 Rad'!H19</f>
        <v>0</v>
      </c>
      <c r="F20" s="8">
        <f t="shared" si="6"/>
        <v>0</v>
      </c>
      <c r="G20" s="8">
        <f t="shared" si="7"/>
        <v>0</v>
      </c>
      <c r="H20" s="8">
        <f t="shared" si="8"/>
        <v>0</v>
      </c>
      <c r="I20" s="8">
        <f t="shared" si="9"/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'(10)F1 Rad'!H20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'(10)F1 Rad'!C29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'(9)F1 Iac'!B37</f>
        <v>LUCRARI DE PROTECTIA MEDIULUI</v>
      </c>
      <c r="D23" s="273"/>
      <c r="E23" s="8">
        <f>'(10)F1 Rad'!C31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8">
        <f t="shared" si="5"/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1">F16++F17+F22+F24</f>
        <v>0</v>
      </c>
      <c r="G25" s="26">
        <f t="shared" si="11"/>
        <v>0</v>
      </c>
      <c r="H25" s="26">
        <f t="shared" si="11"/>
        <v>0</v>
      </c>
      <c r="I25" s="26">
        <f t="shared" si="11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2">ROUND(E27/$F$7,2)</f>
        <v>0</v>
      </c>
      <c r="G27" s="8">
        <f t="shared" ref="G27" si="13">ROUND(E27*$K$3,2)</f>
        <v>0</v>
      </c>
      <c r="H27" s="8">
        <f t="shared" ref="H27" si="14">E27+G27</f>
        <v>0</v>
      </c>
      <c r="I27" s="8">
        <f t="shared" ref="I27" si="15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16">F27</f>
        <v>0</v>
      </c>
      <c r="G28" s="26">
        <f t="shared" si="16"/>
        <v>0</v>
      </c>
      <c r="H28" s="26">
        <f t="shared" si="16"/>
        <v>0</v>
      </c>
      <c r="I28" s="26">
        <f t="shared" si="16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17">SUM(F31:F33)</f>
        <v>0</v>
      </c>
      <c r="G30" s="27">
        <f t="shared" si="17"/>
        <v>0</v>
      </c>
      <c r="H30" s="27">
        <f t="shared" si="17"/>
        <v>0</v>
      </c>
      <c r="I30" s="27">
        <f t="shared" si="17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18">ROUND(E31/$F$7,2)</f>
        <v>0</v>
      </c>
      <c r="G31" s="8">
        <f t="shared" ref="G31:G36" si="19">ROUND(E31*$K$3,2)</f>
        <v>0</v>
      </c>
      <c r="H31" s="8">
        <f t="shared" ref="H31:H36" si="20">E31+G31</f>
        <v>0</v>
      </c>
      <c r="I31" s="8">
        <f t="shared" ref="I31:I36" si="21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18"/>
        <v>0</v>
      </c>
      <c r="G32" s="8">
        <f t="shared" si="19"/>
        <v>0</v>
      </c>
      <c r="H32" s="8">
        <f t="shared" si="20"/>
        <v>0</v>
      </c>
      <c r="I32" s="8">
        <f t="shared" si="21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18"/>
        <v>0</v>
      </c>
      <c r="G33" s="8">
        <f t="shared" si="19"/>
        <v>0</v>
      </c>
      <c r="H33" s="8">
        <f t="shared" si="20"/>
        <v>0</v>
      </c>
      <c r="I33" s="8">
        <f t="shared" si="21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18"/>
        <v>0</v>
      </c>
      <c r="G34" s="8">
        <f t="shared" si="19"/>
        <v>0</v>
      </c>
      <c r="H34" s="8">
        <f t="shared" si="20"/>
        <v>0</v>
      </c>
      <c r="I34" s="8">
        <f t="shared" si="21"/>
        <v>0</v>
      </c>
      <c r="J34" s="7"/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18"/>
        <v>0</v>
      </c>
      <c r="G35" s="8">
        <f t="shared" si="19"/>
        <v>0</v>
      </c>
      <c r="H35" s="8">
        <f t="shared" si="20"/>
        <v>0</v>
      </c>
      <c r="I35" s="8">
        <f t="shared" si="21"/>
        <v>0</v>
      </c>
      <c r="J35" s="7"/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18"/>
        <v>0</v>
      </c>
      <c r="G36" s="8">
        <f t="shared" si="19"/>
        <v>0</v>
      </c>
      <c r="H36" s="8">
        <f t="shared" si="20"/>
        <v>0</v>
      </c>
      <c r="I36" s="8">
        <f t="shared" si="21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2">SUM(F38:F43)</f>
        <v>0</v>
      </c>
      <c r="G37" s="36">
        <f t="shared" si="22"/>
        <v>0</v>
      </c>
      <c r="H37" s="36">
        <f t="shared" si="22"/>
        <v>0</v>
      </c>
      <c r="I37" s="36">
        <f t="shared" si="22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3">ROUND(E38/$F$7,2)</f>
        <v>0</v>
      </c>
      <c r="G38" s="8">
        <f t="shared" ref="G38:G43" si="24">ROUND(E38*$K$3,2)</f>
        <v>0</v>
      </c>
      <c r="H38" s="8">
        <f t="shared" ref="H38:H44" si="25">E38+G38</f>
        <v>0</v>
      </c>
      <c r="I38" s="8">
        <f t="shared" ref="I38:I44" si="26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3"/>
        <v>0</v>
      </c>
      <c r="G39" s="8">
        <f t="shared" si="24"/>
        <v>0</v>
      </c>
      <c r="H39" s="8">
        <f t="shared" si="25"/>
        <v>0</v>
      </c>
      <c r="I39" s="8">
        <f t="shared" si="26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3"/>
        <v>0</v>
      </c>
      <c r="G40" s="8">
        <f t="shared" si="24"/>
        <v>0</v>
      </c>
      <c r="H40" s="8">
        <f t="shared" si="25"/>
        <v>0</v>
      </c>
      <c r="I40" s="8">
        <f t="shared" si="26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3"/>
        <v>0</v>
      </c>
      <c r="G41" s="8">
        <f t="shared" si="24"/>
        <v>0</v>
      </c>
      <c r="H41" s="8">
        <f t="shared" si="25"/>
        <v>0</v>
      </c>
      <c r="I41" s="8">
        <f t="shared" si="26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3"/>
        <v>0</v>
      </c>
      <c r="G42" s="8">
        <f t="shared" si="24"/>
        <v>0</v>
      </c>
      <c r="H42" s="8">
        <f t="shared" si="25"/>
        <v>0</v>
      </c>
      <c r="I42" s="8">
        <f t="shared" si="26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3"/>
        <v>0</v>
      </c>
      <c r="G43" s="8">
        <f t="shared" si="24"/>
        <v>0</v>
      </c>
      <c r="H43" s="8">
        <f t="shared" si="25"/>
        <v>0</v>
      </c>
      <c r="I43" s="8">
        <f t="shared" si="26"/>
        <v>0</v>
      </c>
      <c r="J43" s="7"/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3"/>
        <v>0</v>
      </c>
      <c r="G44" s="8">
        <v>0</v>
      </c>
      <c r="H44" s="8">
        <f t="shared" si="25"/>
        <v>0</v>
      </c>
      <c r="I44" s="8">
        <f t="shared" si="26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27">F47+F48</f>
        <v>0</v>
      </c>
      <c r="G46" s="33">
        <f t="shared" si="27"/>
        <v>0</v>
      </c>
      <c r="H46" s="33">
        <f t="shared" si="27"/>
        <v>0</v>
      </c>
      <c r="I46" s="33">
        <f t="shared" si="27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9" si="28">ROUND(E47/$F$7,2)</f>
        <v>0</v>
      </c>
      <c r="G47" s="8">
        <v>0</v>
      </c>
      <c r="H47" s="8">
        <f t="shared" ref="H47:H49" si="29">E47+G47</f>
        <v>0</v>
      </c>
      <c r="I47" s="8">
        <f t="shared" ref="I47:I49" si="30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28"/>
        <v>0</v>
      </c>
      <c r="G48" s="8">
        <f t="shared" ref="G48:G49" si="31">ROUND(E48*$K$3,2)</f>
        <v>0</v>
      </c>
      <c r="H48" s="8">
        <f t="shared" si="29"/>
        <v>0</v>
      </c>
      <c r="I48" s="8">
        <f t="shared" si="30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si="28"/>
        <v>0</v>
      </c>
      <c r="G49" s="8">
        <f t="shared" si="31"/>
        <v>0</v>
      </c>
      <c r="H49" s="8">
        <f t="shared" si="29"/>
        <v>0</v>
      </c>
      <c r="I49" s="8">
        <f t="shared" si="30"/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32">F51+F54</f>
        <v>0</v>
      </c>
      <c r="G50" s="36">
        <f t="shared" si="32"/>
        <v>0</v>
      </c>
      <c r="H50" s="36">
        <f t="shared" si="32"/>
        <v>0</v>
      </c>
      <c r="I50" s="36">
        <f t="shared" si="32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33">F53+F52</f>
        <v>0</v>
      </c>
      <c r="G51" s="36">
        <f t="shared" si="33"/>
        <v>0</v>
      </c>
      <c r="H51" s="36">
        <f t="shared" si="33"/>
        <v>0</v>
      </c>
      <c r="I51" s="36">
        <f t="shared" si="33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34">ROUND(E52/$F$7,2)</f>
        <v>0</v>
      </c>
      <c r="G52" s="8">
        <f t="shared" ref="G52:G53" si="35">ROUND(E52*$K$3,2)</f>
        <v>0</v>
      </c>
      <c r="H52" s="8">
        <f t="shared" ref="H52:H54" si="36">E52+G52</f>
        <v>0</v>
      </c>
      <c r="I52" s="8">
        <f t="shared" ref="I52:I54" si="37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34"/>
        <v>0</v>
      </c>
      <c r="G53" s="8">
        <f t="shared" si="35"/>
        <v>0</v>
      </c>
      <c r="H53" s="8">
        <f t="shared" si="36"/>
        <v>0</v>
      </c>
      <c r="I53" s="8">
        <f t="shared" si="37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62">
        <v>0</v>
      </c>
      <c r="F54" s="8">
        <f t="shared" si="34"/>
        <v>0</v>
      </c>
      <c r="G54" s="8">
        <v>0</v>
      </c>
      <c r="H54" s="8">
        <f t="shared" si="36"/>
        <v>0</v>
      </c>
      <c r="I54" s="8">
        <f t="shared" si="37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:F75" si="38">ROUND(E57/$F$7,2)</f>
        <v>0</v>
      </c>
      <c r="G57" s="9">
        <f t="shared" ref="G57:G75" si="39">ROUND(E57*$K$3,2)</f>
        <v>0</v>
      </c>
      <c r="H57" s="9">
        <f t="shared" ref="H57:H75" si="40">E57+G57</f>
        <v>0</v>
      </c>
      <c r="I57" s="9">
        <f t="shared" ref="I57:I75" si="41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'(10)F1 Rad'!H44</f>
        <v>0</v>
      </c>
      <c r="F58" s="8">
        <f t="shared" si="38"/>
        <v>0</v>
      </c>
      <c r="G58" s="8">
        <f t="shared" si="39"/>
        <v>0</v>
      </c>
      <c r="H58" s="8">
        <f t="shared" si="40"/>
        <v>0</v>
      </c>
      <c r="I58" s="8">
        <f t="shared" si="41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'(10)F1 Rad'!H45</f>
        <v>0</v>
      </c>
      <c r="F59" s="8">
        <f t="shared" si="38"/>
        <v>0</v>
      </c>
      <c r="G59" s="8">
        <f t="shared" si="39"/>
        <v>0</v>
      </c>
      <c r="H59" s="8">
        <f t="shared" si="40"/>
        <v>0</v>
      </c>
      <c r="I59" s="8">
        <f t="shared" si="41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'(10)F1 Rad'!H46</f>
        <v>0</v>
      </c>
      <c r="F60" s="8">
        <f t="shared" si="38"/>
        <v>0</v>
      </c>
      <c r="G60" s="8">
        <f t="shared" si="39"/>
        <v>0</v>
      </c>
      <c r="H60" s="8">
        <f t="shared" si="40"/>
        <v>0</v>
      </c>
      <c r="I60" s="8">
        <f t="shared" si="41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'(10)F1 Rad'!H47</f>
        <v>0</v>
      </c>
      <c r="F61" s="8">
        <f t="shared" si="38"/>
        <v>0</v>
      </c>
      <c r="G61" s="8">
        <f t="shared" si="39"/>
        <v>0</v>
      </c>
      <c r="H61" s="8">
        <f t="shared" si="40"/>
        <v>0</v>
      </c>
      <c r="I61" s="8">
        <f t="shared" si="41"/>
        <v>0</v>
      </c>
    </row>
    <row r="62" spans="1:10" x14ac:dyDescent="0.25">
      <c r="A62" s="40"/>
      <c r="B62" s="107"/>
      <c r="C62" s="270" t="s">
        <v>158</v>
      </c>
      <c r="D62" s="271"/>
      <c r="E62" s="33">
        <f>'(10)F1 Rad'!H48</f>
        <v>0</v>
      </c>
      <c r="F62" s="8">
        <f t="shared" si="38"/>
        <v>0</v>
      </c>
      <c r="G62" s="8">
        <f t="shared" si="39"/>
        <v>0</v>
      </c>
      <c r="H62" s="8">
        <f t="shared" si="40"/>
        <v>0</v>
      </c>
      <c r="I62" s="8">
        <f t="shared" si="41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38"/>
        <v>0</v>
      </c>
      <c r="G63" s="9">
        <f t="shared" si="39"/>
        <v>0</v>
      </c>
      <c r="H63" s="9">
        <f t="shared" si="40"/>
        <v>0</v>
      </c>
      <c r="I63" s="9">
        <f t="shared" si="41"/>
        <v>0</v>
      </c>
    </row>
    <row r="64" spans="1:10" x14ac:dyDescent="0.25">
      <c r="A64" s="46"/>
      <c r="B64" s="28"/>
      <c r="C64" s="272" t="s">
        <v>682</v>
      </c>
      <c r="D64" s="273"/>
      <c r="E64" s="33">
        <f>'(10)F1 Rad'!H88</f>
        <v>0</v>
      </c>
      <c r="F64" s="8">
        <f t="shared" si="38"/>
        <v>0</v>
      </c>
      <c r="G64" s="8">
        <f t="shared" si="39"/>
        <v>0</v>
      </c>
      <c r="H64" s="8">
        <f t="shared" si="40"/>
        <v>0</v>
      </c>
      <c r="I64" s="8">
        <f t="shared" si="41"/>
        <v>0</v>
      </c>
    </row>
    <row r="65" spans="1:10" x14ac:dyDescent="0.25">
      <c r="A65" s="46"/>
      <c r="B65" s="28"/>
      <c r="C65" s="272" t="s">
        <v>683</v>
      </c>
      <c r="D65" s="273"/>
      <c r="E65" s="33">
        <f>'(10)F1 Rad'!H89</f>
        <v>0</v>
      </c>
      <c r="F65" s="8">
        <f t="shared" si="38"/>
        <v>0</v>
      </c>
      <c r="G65" s="8">
        <f t="shared" si="39"/>
        <v>0</v>
      </c>
      <c r="H65" s="8">
        <f t="shared" si="40"/>
        <v>0</v>
      </c>
      <c r="I65" s="8">
        <f t="shared" si="41"/>
        <v>0</v>
      </c>
    </row>
    <row r="66" spans="1:10" x14ac:dyDescent="0.25">
      <c r="A66" s="40"/>
      <c r="B66" s="107"/>
      <c r="C66" s="272" t="s">
        <v>684</v>
      </c>
      <c r="D66" s="273"/>
      <c r="E66" s="33">
        <f>'(10)F1 Rad'!H90</f>
        <v>0</v>
      </c>
      <c r="F66" s="8">
        <f t="shared" si="38"/>
        <v>0</v>
      </c>
      <c r="G66" s="8">
        <f t="shared" si="39"/>
        <v>0</v>
      </c>
      <c r="H66" s="8">
        <f t="shared" si="40"/>
        <v>0</v>
      </c>
      <c r="I66" s="8">
        <f t="shared" si="41"/>
        <v>0</v>
      </c>
    </row>
    <row r="67" spans="1:10" x14ac:dyDescent="0.25">
      <c r="A67" s="40"/>
      <c r="B67" s="107"/>
      <c r="C67" s="272" t="s">
        <v>685</v>
      </c>
      <c r="D67" s="273"/>
      <c r="E67" s="33">
        <f>'(10)F1 Rad'!H91</f>
        <v>0</v>
      </c>
      <c r="F67" s="8">
        <f t="shared" si="38"/>
        <v>0</v>
      </c>
      <c r="G67" s="8">
        <f t="shared" si="39"/>
        <v>0</v>
      </c>
      <c r="H67" s="8">
        <f t="shared" si="40"/>
        <v>0</v>
      </c>
      <c r="I67" s="8">
        <f t="shared" si="41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38"/>
        <v>0</v>
      </c>
      <c r="G68" s="9">
        <f t="shared" si="39"/>
        <v>0</v>
      </c>
      <c r="H68" s="9">
        <f t="shared" si="40"/>
        <v>0</v>
      </c>
      <c r="I68" s="9">
        <f t="shared" si="41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'(10)F1 Rad'!H101</f>
        <v>0</v>
      </c>
      <c r="F69" s="8">
        <f t="shared" si="38"/>
        <v>0</v>
      </c>
      <c r="G69" s="8">
        <f t="shared" si="39"/>
        <v>0</v>
      </c>
      <c r="H69" s="8">
        <f t="shared" si="40"/>
        <v>0</v>
      </c>
      <c r="I69" s="8">
        <f t="shared" si="41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'(10)F1 Rad'!H102</f>
        <v>0</v>
      </c>
      <c r="F70" s="8">
        <f t="shared" si="38"/>
        <v>0</v>
      </c>
      <c r="G70" s="8">
        <f t="shared" si="39"/>
        <v>0</v>
      </c>
      <c r="H70" s="8">
        <f t="shared" si="40"/>
        <v>0</v>
      </c>
      <c r="I70" s="8">
        <f t="shared" si="41"/>
        <v>0</v>
      </c>
    </row>
    <row r="71" spans="1:10" x14ac:dyDescent="0.25">
      <c r="A71" s="53"/>
      <c r="B71" s="114"/>
      <c r="C71" s="272" t="s">
        <v>684</v>
      </c>
      <c r="D71" s="273"/>
      <c r="E71" s="33">
        <f>'(10)F1 Rad'!H103</f>
        <v>0</v>
      </c>
      <c r="F71" s="8">
        <f t="shared" si="38"/>
        <v>0</v>
      </c>
      <c r="G71" s="8">
        <f t="shared" si="39"/>
        <v>0</v>
      </c>
      <c r="H71" s="8">
        <f t="shared" si="40"/>
        <v>0</v>
      </c>
      <c r="I71" s="8">
        <f t="shared" si="41"/>
        <v>0</v>
      </c>
    </row>
    <row r="72" spans="1:10" x14ac:dyDescent="0.25">
      <c r="A72" s="53"/>
      <c r="B72" s="114"/>
      <c r="C72" s="272" t="s">
        <v>685</v>
      </c>
      <c r="D72" s="273"/>
      <c r="E72" s="33">
        <f>'(10)F1 Rad'!H104</f>
        <v>0</v>
      </c>
      <c r="F72" s="8">
        <f t="shared" si="38"/>
        <v>0</v>
      </c>
      <c r="G72" s="8">
        <f t="shared" si="39"/>
        <v>0</v>
      </c>
      <c r="H72" s="8">
        <f t="shared" si="40"/>
        <v>0</v>
      </c>
      <c r="I72" s="8">
        <f t="shared" si="41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si="38"/>
        <v>0</v>
      </c>
      <c r="G73" s="8">
        <f t="shared" si="39"/>
        <v>0</v>
      </c>
      <c r="H73" s="8">
        <f t="shared" si="40"/>
        <v>0</v>
      </c>
      <c r="I73" s="8">
        <f t="shared" si="41"/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38"/>
        <v>0</v>
      </c>
      <c r="G74" s="8">
        <f t="shared" si="39"/>
        <v>0</v>
      </c>
      <c r="H74" s="8">
        <f t="shared" si="40"/>
        <v>0</v>
      </c>
      <c r="I74" s="8">
        <f t="shared" si="41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38"/>
        <v>0</v>
      </c>
      <c r="G75" s="8">
        <f t="shared" si="39"/>
        <v>0</v>
      </c>
      <c r="H75" s="8">
        <f t="shared" si="40"/>
        <v>0</v>
      </c>
      <c r="I75" s="8">
        <f t="shared" si="41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42">SUM(F79:F80)</f>
        <v>0</v>
      </c>
      <c r="G78" s="29">
        <f t="shared" si="42"/>
        <v>0</v>
      </c>
      <c r="H78" s="29">
        <f t="shared" si="42"/>
        <v>0</v>
      </c>
      <c r="I78" s="29">
        <f t="shared" si="42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43">ROUND(E79/$F$7,2)</f>
        <v>0</v>
      </c>
      <c r="G79" s="8">
        <f t="shared" ref="G79:G80" si="44">ROUND(E79*$K$3,2)</f>
        <v>0</v>
      </c>
      <c r="H79" s="8">
        <f t="shared" ref="H79:H80" si="45">E79+G79</f>
        <v>0</v>
      </c>
      <c r="I79" s="8">
        <f t="shared" ref="I79:I80" si="46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43"/>
        <v>0</v>
      </c>
      <c r="G80" s="8">
        <f t="shared" si="44"/>
        <v>0</v>
      </c>
      <c r="H80" s="8">
        <f t="shared" si="45"/>
        <v>0</v>
      </c>
      <c r="I80" s="8">
        <f t="shared" si="46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47">SUM(F82:F86)</f>
        <v>0</v>
      </c>
      <c r="G81" s="27">
        <f t="shared" si="47"/>
        <v>0</v>
      </c>
      <c r="H81" s="27">
        <f t="shared" si="47"/>
        <v>0</v>
      </c>
      <c r="I81" s="27">
        <f t="shared" si="47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48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49">ROUND(E83/$F$7,2)</f>
        <v>0</v>
      </c>
      <c r="G83" s="8">
        <v>0</v>
      </c>
      <c r="H83" s="8">
        <f t="shared" ref="H83:H88" si="50">E83+G83</f>
        <v>0</v>
      </c>
      <c r="I83" s="8">
        <f t="shared" ref="I83:I88" si="51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49"/>
        <v>0</v>
      </c>
      <c r="G84" s="8">
        <v>0</v>
      </c>
      <c r="H84" s="8">
        <f t="shared" si="50"/>
        <v>0</v>
      </c>
      <c r="I84" s="8">
        <f t="shared" si="51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49"/>
        <v>0</v>
      </c>
      <c r="G85" s="8">
        <v>0</v>
      </c>
      <c r="H85" s="8">
        <f t="shared" si="50"/>
        <v>0</v>
      </c>
      <c r="I85" s="8">
        <f t="shared" si="51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49"/>
        <v>0</v>
      </c>
      <c r="G86" s="8">
        <f>E86*0</f>
        <v>0</v>
      </c>
      <c r="H86" s="8">
        <f t="shared" si="50"/>
        <v>0</v>
      </c>
      <c r="I86" s="8">
        <f t="shared" si="51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49"/>
        <v>0</v>
      </c>
      <c r="G87" s="8">
        <f t="shared" ref="G87:G88" si="52">ROUND(E87*$K$3,2)</f>
        <v>0</v>
      </c>
      <c r="H87" s="8">
        <f t="shared" si="50"/>
        <v>0</v>
      </c>
      <c r="I87" s="8">
        <f t="shared" si="51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49"/>
        <v>0</v>
      </c>
      <c r="G88" s="8">
        <f t="shared" si="52"/>
        <v>0</v>
      </c>
      <c r="H88" s="8">
        <f t="shared" si="50"/>
        <v>0</v>
      </c>
      <c r="I88" s="8">
        <f t="shared" si="51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53">F78+F81+F87+F88</f>
        <v>0</v>
      </c>
      <c r="G89" s="31">
        <f t="shared" si="53"/>
        <v>0</v>
      </c>
      <c r="H89" s="31">
        <f t="shared" si="53"/>
        <v>0</v>
      </c>
      <c r="I89" s="31">
        <f t="shared" si="53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54">ROUND(E91/$F$7,2)</f>
        <v>0</v>
      </c>
      <c r="G91" s="8">
        <f t="shared" ref="G91" si="55">ROUND(E91*$K$3,2)</f>
        <v>0</v>
      </c>
      <c r="H91" s="8">
        <f t="shared" ref="H91:H92" si="56">E91+G91</f>
        <v>0</v>
      </c>
      <c r="I91" s="8">
        <f t="shared" ref="I91:I92" si="57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54"/>
        <v>0</v>
      </c>
      <c r="G92" s="8">
        <v>0</v>
      </c>
      <c r="H92" s="8">
        <f t="shared" si="56"/>
        <v>0</v>
      </c>
      <c r="I92" s="8">
        <f t="shared" si="57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58">SUM(F91:F92)</f>
        <v>0</v>
      </c>
      <c r="G93" s="30">
        <f t="shared" si="58"/>
        <v>0</v>
      </c>
      <c r="H93" s="30">
        <f t="shared" si="58"/>
        <v>0</v>
      </c>
      <c r="I93" s="30">
        <f t="shared" si="58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59">E95/4.9</f>
        <v>0</v>
      </c>
      <c r="G95" s="21">
        <f t="shared" ref="G95:G96" si="60">E95*0.19</f>
        <v>0</v>
      </c>
      <c r="H95" s="21">
        <f t="shared" ref="H95:H96" si="61">E95+G95</f>
        <v>0</v>
      </c>
      <c r="I95" s="21">
        <f t="shared" ref="I95:I96" si="62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59"/>
        <v>0</v>
      </c>
      <c r="G96" s="21">
        <f t="shared" si="60"/>
        <v>0</v>
      </c>
      <c r="H96" s="21">
        <f t="shared" si="61"/>
        <v>0</v>
      </c>
      <c r="I96" s="21">
        <f t="shared" si="62"/>
        <v>0</v>
      </c>
      <c r="M96" s="1" t="s">
        <v>156</v>
      </c>
      <c r="N96" s="54">
        <f>SUM(N93:N95)</f>
        <v>0</v>
      </c>
      <c r="O96" s="127">
        <f>N96-'(10)F1 Rad'!C118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A6:I6"/>
    <mergeCell ref="F1:G1"/>
    <mergeCell ref="A2:C2"/>
    <mergeCell ref="A3:I3"/>
    <mergeCell ref="A4:I4"/>
    <mergeCell ref="A5:I5"/>
    <mergeCell ref="C18:D18"/>
    <mergeCell ref="C7:D7"/>
    <mergeCell ref="A8:C8"/>
    <mergeCell ref="H8:I8"/>
    <mergeCell ref="B9:D12"/>
    <mergeCell ref="E9:F11"/>
    <mergeCell ref="G9:G11"/>
    <mergeCell ref="H9:I10"/>
    <mergeCell ref="H11:I11"/>
    <mergeCell ref="B13:D13"/>
    <mergeCell ref="C14:D14"/>
    <mergeCell ref="B15:D15"/>
    <mergeCell ref="C16:D16"/>
    <mergeCell ref="C17:D17"/>
    <mergeCell ref="C34:D34"/>
    <mergeCell ref="C21:D21"/>
    <mergeCell ref="C23:D23"/>
    <mergeCell ref="C25:D25"/>
    <mergeCell ref="B26:D26"/>
    <mergeCell ref="C27:D27"/>
    <mergeCell ref="C28:D28"/>
    <mergeCell ref="B29:D29"/>
    <mergeCell ref="C30:D30"/>
    <mergeCell ref="C31:D31"/>
    <mergeCell ref="C32:D32"/>
    <mergeCell ref="C33:D33"/>
    <mergeCell ref="B53:D53"/>
    <mergeCell ref="B43:D43"/>
    <mergeCell ref="B44:D44"/>
    <mergeCell ref="C35:D35"/>
    <mergeCell ref="C36:D36"/>
    <mergeCell ref="B37:D37"/>
    <mergeCell ref="B38:D38"/>
    <mergeCell ref="B39:D39"/>
    <mergeCell ref="B45:D45"/>
    <mergeCell ref="B40:D40"/>
    <mergeCell ref="B41:D41"/>
    <mergeCell ref="B42:D42"/>
    <mergeCell ref="B46:D46"/>
    <mergeCell ref="B49:D49"/>
    <mergeCell ref="B50:D50"/>
    <mergeCell ref="B51:D51"/>
    <mergeCell ref="B52:D52"/>
    <mergeCell ref="C61:D61"/>
    <mergeCell ref="C62:D62"/>
    <mergeCell ref="C63:D63"/>
    <mergeCell ref="C64:D64"/>
    <mergeCell ref="B54:D54"/>
    <mergeCell ref="C55:D55"/>
    <mergeCell ref="C57:D57"/>
    <mergeCell ref="C58:D58"/>
    <mergeCell ref="C19:D19"/>
    <mergeCell ref="C20:D20"/>
    <mergeCell ref="C83:D83"/>
    <mergeCell ref="C84:D84"/>
    <mergeCell ref="C71:D71"/>
    <mergeCell ref="C60:D60"/>
    <mergeCell ref="C65:D65"/>
    <mergeCell ref="C66:D66"/>
    <mergeCell ref="C67:D67"/>
    <mergeCell ref="C69:D69"/>
    <mergeCell ref="C70:D70"/>
    <mergeCell ref="C76:D76"/>
    <mergeCell ref="B77:D77"/>
    <mergeCell ref="C59:D59"/>
    <mergeCell ref="C47:D47"/>
    <mergeCell ref="C48:D48"/>
    <mergeCell ref="A94:D94"/>
    <mergeCell ref="A95:D95"/>
    <mergeCell ref="A96:D96"/>
    <mergeCell ref="C86:D86"/>
    <mergeCell ref="C88:D88"/>
    <mergeCell ref="C89:D89"/>
    <mergeCell ref="C91:D91"/>
    <mergeCell ref="C92:D92"/>
    <mergeCell ref="C93:D93"/>
    <mergeCell ref="C85:D85"/>
    <mergeCell ref="C72:D72"/>
    <mergeCell ref="C73:D73"/>
    <mergeCell ref="C74:D74"/>
    <mergeCell ref="C75:D75"/>
    <mergeCell ref="C78:D78"/>
    <mergeCell ref="C79:D79"/>
    <mergeCell ref="C82:D82"/>
  </mergeCells>
  <pageMargins left="0.78740157480314965" right="0.59055118110236227" top="0.59055118110236227" bottom="0.78740157480314965" header="0" footer="0"/>
  <pageSetup paperSize="9" scale="72" orientation="portrait" r:id="rId1"/>
  <rowBreaks count="1" manualBreakCount="1">
    <brk id="100" max="8" man="1"/>
  </rowBreaks>
  <ignoredErrors>
    <ignoredError sqref="F22:I22 F37:I3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03459-A2CF-4468-8580-1A537CC0A07D}">
  <dimension ref="A1:O100"/>
  <sheetViews>
    <sheetView view="pageBreakPreview" topLeftCell="C88" zoomScale="170" zoomScaleNormal="100" zoomScaleSheetLayoutView="17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" style="1" customWidth="1"/>
    <col min="13" max="13" width="12.3984375" style="1" customWidth="1"/>
    <col min="14" max="14" width="10.59765625" style="1" customWidth="1"/>
    <col min="15" max="15" width="11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DG!D86</f>
        <v>Statia 110/20/6 kV Tarnita, jud. SV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:F24" si="2">ROUND(E17/$F$7,2)</f>
        <v>0</v>
      </c>
      <c r="G17" s="9">
        <f t="shared" ref="G17:G24" si="3">ROUND(E17*$K$3,2)</f>
        <v>0</v>
      </c>
      <c r="H17" s="9">
        <f t="shared" ref="H17:H24" si="4">E17+G17</f>
        <v>0</v>
      </c>
      <c r="I17" s="9">
        <f t="shared" ref="I17:I24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'(11)F1 Tar'!H17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'(11)F1 Tar'!H18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'(11)F1 Tar'!H19</f>
        <v>0</v>
      </c>
      <c r="F20" s="8">
        <f t="shared" ref="F20:F21" si="6">ROUND(E20/$F$7,2)</f>
        <v>0</v>
      </c>
      <c r="G20" s="8">
        <f t="shared" ref="G20:G21" si="7">ROUND(E20*$K$3,2)</f>
        <v>0</v>
      </c>
      <c r="H20" s="8">
        <f t="shared" ref="H20:H21" si="8">E20+G20</f>
        <v>0</v>
      </c>
      <c r="I20" s="8">
        <f t="shared" ref="I20:I21" si="9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'(11)F1 Tar'!H20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'(11)F1 Tar'!C49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'(4)F1 IMR'!B42</f>
        <v xml:space="preserve">              Lucrari protectia mediului</v>
      </c>
      <c r="D23" s="273"/>
      <c r="E23" s="8">
        <f>'(11)F1 Tar'!C51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8">
        <f t="shared" si="5"/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1">F16++F17+F22+F24</f>
        <v>0</v>
      </c>
      <c r="G25" s="26">
        <f t="shared" si="11"/>
        <v>0</v>
      </c>
      <c r="H25" s="26">
        <f t="shared" si="11"/>
        <v>0</v>
      </c>
      <c r="I25" s="26">
        <f t="shared" si="11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2">ROUND(E27/$F$7,2)</f>
        <v>0</v>
      </c>
      <c r="G27" s="8">
        <f t="shared" ref="G27" si="13">ROUND(E27*$K$3,2)</f>
        <v>0</v>
      </c>
      <c r="H27" s="8">
        <f t="shared" ref="H27" si="14">E27+G27</f>
        <v>0</v>
      </c>
      <c r="I27" s="8">
        <f t="shared" ref="I27" si="15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16">F27</f>
        <v>0</v>
      </c>
      <c r="G28" s="26">
        <f t="shared" si="16"/>
        <v>0</v>
      </c>
      <c r="H28" s="26">
        <f t="shared" si="16"/>
        <v>0</v>
      </c>
      <c r="I28" s="26">
        <f t="shared" si="16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17">SUM(F31:F33)</f>
        <v>0</v>
      </c>
      <c r="G30" s="27">
        <f t="shared" si="17"/>
        <v>0</v>
      </c>
      <c r="H30" s="27">
        <f t="shared" si="17"/>
        <v>0</v>
      </c>
      <c r="I30" s="27">
        <f t="shared" si="17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18">ROUND(E31/$F$7,2)</f>
        <v>0</v>
      </c>
      <c r="G31" s="8">
        <f t="shared" ref="G31:G36" si="19">ROUND(E31*$K$3,2)</f>
        <v>0</v>
      </c>
      <c r="H31" s="8">
        <f t="shared" ref="H31:H36" si="20">E31+G31</f>
        <v>0</v>
      </c>
      <c r="I31" s="8">
        <f t="shared" ref="I31:I36" si="21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18"/>
        <v>0</v>
      </c>
      <c r="G32" s="8">
        <f t="shared" si="19"/>
        <v>0</v>
      </c>
      <c r="H32" s="8">
        <f t="shared" si="20"/>
        <v>0</v>
      </c>
      <c r="I32" s="8">
        <f t="shared" si="21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18"/>
        <v>0</v>
      </c>
      <c r="G33" s="8">
        <f t="shared" si="19"/>
        <v>0</v>
      </c>
      <c r="H33" s="8">
        <f t="shared" si="20"/>
        <v>0</v>
      </c>
      <c r="I33" s="8">
        <f t="shared" si="21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18"/>
        <v>0</v>
      </c>
      <c r="G34" s="8">
        <f t="shared" si="19"/>
        <v>0</v>
      </c>
      <c r="H34" s="8">
        <f t="shared" si="20"/>
        <v>0</v>
      </c>
      <c r="I34" s="8">
        <f t="shared" si="21"/>
        <v>0</v>
      </c>
      <c r="J34" s="7">
        <v>1</v>
      </c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18"/>
        <v>0</v>
      </c>
      <c r="G35" s="8">
        <f t="shared" si="19"/>
        <v>0</v>
      </c>
      <c r="H35" s="8">
        <f t="shared" si="20"/>
        <v>0</v>
      </c>
      <c r="I35" s="8">
        <f t="shared" si="21"/>
        <v>0</v>
      </c>
      <c r="J35" s="7">
        <v>0</v>
      </c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18"/>
        <v>0</v>
      </c>
      <c r="G36" s="8">
        <f t="shared" si="19"/>
        <v>0</v>
      </c>
      <c r="H36" s="8">
        <f t="shared" si="20"/>
        <v>0</v>
      </c>
      <c r="I36" s="8">
        <f t="shared" si="21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2">SUM(F38:F43)</f>
        <v>0</v>
      </c>
      <c r="G37" s="36">
        <f t="shared" si="22"/>
        <v>0</v>
      </c>
      <c r="H37" s="36">
        <f t="shared" si="22"/>
        <v>0</v>
      </c>
      <c r="I37" s="36">
        <f t="shared" si="22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3">ROUND(E38/$F$7,2)</f>
        <v>0</v>
      </c>
      <c r="G38" s="8">
        <f t="shared" ref="G38:G43" si="24">ROUND(E38*$K$3,2)</f>
        <v>0</v>
      </c>
      <c r="H38" s="8">
        <f t="shared" ref="H38:H44" si="25">E38+G38</f>
        <v>0</v>
      </c>
      <c r="I38" s="8">
        <f t="shared" ref="I38:I44" si="26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3"/>
        <v>0</v>
      </c>
      <c r="G39" s="8">
        <f t="shared" si="24"/>
        <v>0</v>
      </c>
      <c r="H39" s="8">
        <f t="shared" si="25"/>
        <v>0</v>
      </c>
      <c r="I39" s="8">
        <f t="shared" si="26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3"/>
        <v>0</v>
      </c>
      <c r="G40" s="8">
        <f t="shared" si="24"/>
        <v>0</v>
      </c>
      <c r="H40" s="8">
        <f t="shared" si="25"/>
        <v>0</v>
      </c>
      <c r="I40" s="8">
        <f t="shared" si="26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3"/>
        <v>0</v>
      </c>
      <c r="G41" s="8">
        <f t="shared" si="24"/>
        <v>0</v>
      </c>
      <c r="H41" s="8">
        <f t="shared" si="25"/>
        <v>0</v>
      </c>
      <c r="I41" s="8">
        <f t="shared" si="26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3"/>
        <v>0</v>
      </c>
      <c r="G42" s="8">
        <f t="shared" si="24"/>
        <v>0</v>
      </c>
      <c r="H42" s="8">
        <f t="shared" si="25"/>
        <v>0</v>
      </c>
      <c r="I42" s="8">
        <f t="shared" si="26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3"/>
        <v>0</v>
      </c>
      <c r="G43" s="8">
        <f t="shared" si="24"/>
        <v>0</v>
      </c>
      <c r="H43" s="8">
        <f t="shared" si="25"/>
        <v>0</v>
      </c>
      <c r="I43" s="8">
        <f t="shared" si="26"/>
        <v>0</v>
      </c>
      <c r="J43" s="7">
        <v>4</v>
      </c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3"/>
        <v>0</v>
      </c>
      <c r="G44" s="8">
        <v>0</v>
      </c>
      <c r="H44" s="8">
        <f t="shared" si="25"/>
        <v>0</v>
      </c>
      <c r="I44" s="8">
        <f t="shared" si="26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27">F47+F48</f>
        <v>0</v>
      </c>
      <c r="G46" s="33">
        <f t="shared" si="27"/>
        <v>0</v>
      </c>
      <c r="H46" s="33">
        <f t="shared" si="27"/>
        <v>0</v>
      </c>
      <c r="I46" s="33">
        <f t="shared" si="27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9" si="28">ROUND(E47/$F$7,2)</f>
        <v>0</v>
      </c>
      <c r="G47" s="8">
        <v>0</v>
      </c>
      <c r="H47" s="8">
        <f t="shared" ref="H47:H49" si="29">E47+G47</f>
        <v>0</v>
      </c>
      <c r="I47" s="8">
        <f t="shared" ref="I47:I49" si="30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28"/>
        <v>0</v>
      </c>
      <c r="G48" s="8">
        <f t="shared" ref="G48:G49" si="31">ROUND(E48*$K$3,2)</f>
        <v>0</v>
      </c>
      <c r="H48" s="8">
        <f t="shared" si="29"/>
        <v>0</v>
      </c>
      <c r="I48" s="8">
        <f t="shared" si="30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si="28"/>
        <v>0</v>
      </c>
      <c r="G49" s="8">
        <f t="shared" si="31"/>
        <v>0</v>
      </c>
      <c r="H49" s="8">
        <f t="shared" si="29"/>
        <v>0</v>
      </c>
      <c r="I49" s="8">
        <f t="shared" si="30"/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32">F51+F54</f>
        <v>0</v>
      </c>
      <c r="G50" s="36">
        <f t="shared" si="32"/>
        <v>0</v>
      </c>
      <c r="H50" s="36">
        <f t="shared" si="32"/>
        <v>0</v>
      </c>
      <c r="I50" s="36">
        <f t="shared" si="32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33">F53+F52</f>
        <v>0</v>
      </c>
      <c r="G51" s="36">
        <f t="shared" si="33"/>
        <v>0</v>
      </c>
      <c r="H51" s="36">
        <f t="shared" si="33"/>
        <v>0</v>
      </c>
      <c r="I51" s="36">
        <f t="shared" si="33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34">ROUND(E52/$F$7,2)</f>
        <v>0</v>
      </c>
      <c r="G52" s="8">
        <f t="shared" ref="G52:G53" si="35">ROUND(E52*$K$3,2)</f>
        <v>0</v>
      </c>
      <c r="H52" s="8">
        <f t="shared" ref="H52:H54" si="36">E52+G52</f>
        <v>0</v>
      </c>
      <c r="I52" s="8">
        <f t="shared" ref="I52:I54" si="37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34"/>
        <v>0</v>
      </c>
      <c r="G53" s="8">
        <f t="shared" si="35"/>
        <v>0</v>
      </c>
      <c r="H53" s="8">
        <f t="shared" si="36"/>
        <v>0</v>
      </c>
      <c r="I53" s="8">
        <f t="shared" si="37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34"/>
        <v>0</v>
      </c>
      <c r="G54" s="8">
        <v>0</v>
      </c>
      <c r="H54" s="8">
        <f t="shared" si="36"/>
        <v>0</v>
      </c>
      <c r="I54" s="8">
        <f t="shared" si="37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>ROUND(E57/$F$7,2)</f>
        <v>0</v>
      </c>
      <c r="G57" s="9">
        <f t="shared" ref="G57:G75" si="38">ROUND(E57*$K$3,2)</f>
        <v>0</v>
      </c>
      <c r="H57" s="9">
        <f t="shared" ref="H57:H75" si="39">E57+G57</f>
        <v>0</v>
      </c>
      <c r="I57" s="9">
        <f t="shared" ref="I57:I75" si="40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'(11)F1 Tar'!H64</f>
        <v>0</v>
      </c>
      <c r="F58" s="8">
        <f t="shared" ref="F58:F75" si="41">ROUND(E58/$F$7,2)</f>
        <v>0</v>
      </c>
      <c r="G58" s="8">
        <f t="shared" si="38"/>
        <v>0</v>
      </c>
      <c r="H58" s="8">
        <f t="shared" si="39"/>
        <v>0</v>
      </c>
      <c r="I58" s="8">
        <f t="shared" si="40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'(11)F1 Tar'!H65</f>
        <v>0</v>
      </c>
      <c r="F59" s="8">
        <f t="shared" si="41"/>
        <v>0</v>
      </c>
      <c r="G59" s="8">
        <f t="shared" si="38"/>
        <v>0</v>
      </c>
      <c r="H59" s="8">
        <f t="shared" si="39"/>
        <v>0</v>
      </c>
      <c r="I59" s="8">
        <f t="shared" si="40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'(11)F1 Tar'!H66</f>
        <v>0</v>
      </c>
      <c r="F60" s="8">
        <f t="shared" si="41"/>
        <v>0</v>
      </c>
      <c r="G60" s="8">
        <f t="shared" si="38"/>
        <v>0</v>
      </c>
      <c r="H60" s="8">
        <f t="shared" si="39"/>
        <v>0</v>
      </c>
      <c r="I60" s="8">
        <f t="shared" si="40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'(11)F1 Tar'!H67</f>
        <v>0</v>
      </c>
      <c r="F61" s="8">
        <f t="shared" si="41"/>
        <v>0</v>
      </c>
      <c r="G61" s="8">
        <f t="shared" si="38"/>
        <v>0</v>
      </c>
      <c r="H61" s="8">
        <f t="shared" si="39"/>
        <v>0</v>
      </c>
      <c r="I61" s="8">
        <f t="shared" si="40"/>
        <v>0</v>
      </c>
    </row>
    <row r="62" spans="1:10" x14ac:dyDescent="0.25">
      <c r="A62" s="40"/>
      <c r="B62" s="107"/>
      <c r="C62" s="270" t="s">
        <v>158</v>
      </c>
      <c r="D62" s="271"/>
      <c r="E62" s="33">
        <f>'(11)F1 Tar'!H68</f>
        <v>0</v>
      </c>
      <c r="F62" s="8">
        <f t="shared" si="41"/>
        <v>0</v>
      </c>
      <c r="G62" s="8">
        <f t="shared" si="38"/>
        <v>0</v>
      </c>
      <c r="H62" s="8">
        <f t="shared" si="39"/>
        <v>0</v>
      </c>
      <c r="I62" s="8">
        <f t="shared" si="40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1"/>
        <v>0</v>
      </c>
      <c r="G63" s="9">
        <f t="shared" si="38"/>
        <v>0</v>
      </c>
      <c r="H63" s="9">
        <f t="shared" si="39"/>
        <v>0</v>
      </c>
      <c r="I63" s="9">
        <f t="shared" si="40"/>
        <v>0</v>
      </c>
    </row>
    <row r="64" spans="1:10" x14ac:dyDescent="0.25">
      <c r="A64" s="46"/>
      <c r="B64" s="28"/>
      <c r="C64" s="272" t="s">
        <v>682</v>
      </c>
      <c r="D64" s="273"/>
      <c r="E64" s="33">
        <f>'(11)F1 Tar'!H110</f>
        <v>0</v>
      </c>
      <c r="F64" s="8">
        <f t="shared" si="41"/>
        <v>0</v>
      </c>
      <c r="G64" s="8">
        <f t="shared" si="38"/>
        <v>0</v>
      </c>
      <c r="H64" s="8">
        <f t="shared" si="39"/>
        <v>0</v>
      </c>
      <c r="I64" s="8">
        <f t="shared" si="40"/>
        <v>0</v>
      </c>
    </row>
    <row r="65" spans="1:10" x14ac:dyDescent="0.25">
      <c r="A65" s="46"/>
      <c r="B65" s="28"/>
      <c r="C65" s="272" t="s">
        <v>683</v>
      </c>
      <c r="D65" s="273"/>
      <c r="E65" s="33">
        <f>'(11)F1 Tar'!H111</f>
        <v>0</v>
      </c>
      <c r="F65" s="8">
        <f t="shared" si="41"/>
        <v>0</v>
      </c>
      <c r="G65" s="8">
        <f t="shared" si="38"/>
        <v>0</v>
      </c>
      <c r="H65" s="8">
        <f t="shared" si="39"/>
        <v>0</v>
      </c>
      <c r="I65" s="8">
        <f t="shared" si="40"/>
        <v>0</v>
      </c>
    </row>
    <row r="66" spans="1:10" x14ac:dyDescent="0.25">
      <c r="A66" s="40"/>
      <c r="B66" s="107"/>
      <c r="C66" s="272" t="s">
        <v>684</v>
      </c>
      <c r="D66" s="273"/>
      <c r="E66" s="33">
        <f>'(11)F1 Tar'!H112</f>
        <v>0</v>
      </c>
      <c r="F66" s="8">
        <f t="shared" si="41"/>
        <v>0</v>
      </c>
      <c r="G66" s="8">
        <f t="shared" si="38"/>
        <v>0</v>
      </c>
      <c r="H66" s="8">
        <f t="shared" si="39"/>
        <v>0</v>
      </c>
      <c r="I66" s="8">
        <f t="shared" si="40"/>
        <v>0</v>
      </c>
    </row>
    <row r="67" spans="1:10" x14ac:dyDescent="0.25">
      <c r="A67" s="40"/>
      <c r="B67" s="107"/>
      <c r="C67" s="272" t="s">
        <v>685</v>
      </c>
      <c r="D67" s="273"/>
      <c r="E67" s="33">
        <f>'(11)F1 Tar'!H113</f>
        <v>0</v>
      </c>
      <c r="F67" s="8">
        <f t="shared" si="41"/>
        <v>0</v>
      </c>
      <c r="G67" s="8">
        <f t="shared" si="38"/>
        <v>0</v>
      </c>
      <c r="H67" s="8">
        <f t="shared" si="39"/>
        <v>0</v>
      </c>
      <c r="I67" s="8">
        <f t="shared" si="40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1"/>
        <v>0</v>
      </c>
      <c r="G68" s="9">
        <f t="shared" si="38"/>
        <v>0</v>
      </c>
      <c r="H68" s="9">
        <f t="shared" si="39"/>
        <v>0</v>
      </c>
      <c r="I68" s="9">
        <f t="shared" si="40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'(11)F1 Tar'!H123</f>
        <v>0</v>
      </c>
      <c r="F69" s="8">
        <f t="shared" si="41"/>
        <v>0</v>
      </c>
      <c r="G69" s="8">
        <f t="shared" si="38"/>
        <v>0</v>
      </c>
      <c r="H69" s="8">
        <f t="shared" si="39"/>
        <v>0</v>
      </c>
      <c r="I69" s="8">
        <f t="shared" si="40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'(11)F1 Tar'!H124</f>
        <v>0</v>
      </c>
      <c r="F70" s="8">
        <f t="shared" si="41"/>
        <v>0</v>
      </c>
      <c r="G70" s="8">
        <f t="shared" si="38"/>
        <v>0</v>
      </c>
      <c r="H70" s="8">
        <f t="shared" si="39"/>
        <v>0</v>
      </c>
      <c r="I70" s="8">
        <f t="shared" si="40"/>
        <v>0</v>
      </c>
    </row>
    <row r="71" spans="1:10" x14ac:dyDescent="0.25">
      <c r="A71" s="53"/>
      <c r="B71" s="114"/>
      <c r="C71" s="272" t="s">
        <v>684</v>
      </c>
      <c r="D71" s="273"/>
      <c r="E71" s="33">
        <f>'(11)F1 Tar'!H125</f>
        <v>0</v>
      </c>
      <c r="F71" s="8">
        <f t="shared" si="41"/>
        <v>0</v>
      </c>
      <c r="G71" s="8">
        <f t="shared" si="38"/>
        <v>0</v>
      </c>
      <c r="H71" s="8">
        <f t="shared" si="39"/>
        <v>0</v>
      </c>
      <c r="I71" s="8">
        <f t="shared" si="40"/>
        <v>0</v>
      </c>
    </row>
    <row r="72" spans="1:10" x14ac:dyDescent="0.25">
      <c r="A72" s="53"/>
      <c r="B72" s="114"/>
      <c r="C72" s="272" t="s">
        <v>685</v>
      </c>
      <c r="D72" s="273"/>
      <c r="E72" s="33">
        <f>'(11)F1 Tar'!H126</f>
        <v>0</v>
      </c>
      <c r="F72" s="8">
        <f t="shared" si="41"/>
        <v>0</v>
      </c>
      <c r="G72" s="8">
        <f t="shared" si="38"/>
        <v>0</v>
      </c>
      <c r="H72" s="8">
        <f t="shared" si="39"/>
        <v>0</v>
      </c>
      <c r="I72" s="8">
        <f t="shared" si="40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si="41"/>
        <v>0</v>
      </c>
      <c r="G73" s="8">
        <f t="shared" si="38"/>
        <v>0</v>
      </c>
      <c r="H73" s="8">
        <f t="shared" si="39"/>
        <v>0</v>
      </c>
      <c r="I73" s="8">
        <f t="shared" si="40"/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41"/>
        <v>0</v>
      </c>
      <c r="G74" s="8">
        <f t="shared" si="38"/>
        <v>0</v>
      </c>
      <c r="H74" s="8">
        <f t="shared" si="39"/>
        <v>0</v>
      </c>
      <c r="I74" s="8">
        <f t="shared" si="40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41"/>
        <v>0</v>
      </c>
      <c r="G75" s="8">
        <f t="shared" si="38"/>
        <v>0</v>
      </c>
      <c r="H75" s="8">
        <f t="shared" si="39"/>
        <v>0</v>
      </c>
      <c r="I75" s="8">
        <f t="shared" si="40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42">SUM(F79:F80)</f>
        <v>0</v>
      </c>
      <c r="G78" s="29">
        <f t="shared" si="42"/>
        <v>0</v>
      </c>
      <c r="H78" s="29">
        <f t="shared" si="42"/>
        <v>0</v>
      </c>
      <c r="I78" s="29">
        <f t="shared" si="42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43">ROUND(E79/$F$7,2)</f>
        <v>0</v>
      </c>
      <c r="G79" s="8">
        <f t="shared" ref="G79:G80" si="44">ROUND(E79*$K$3,2)</f>
        <v>0</v>
      </c>
      <c r="H79" s="8">
        <f t="shared" ref="H79:H80" si="45">E79+G79</f>
        <v>0</v>
      </c>
      <c r="I79" s="8">
        <f t="shared" ref="I79:I80" si="46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43"/>
        <v>0</v>
      </c>
      <c r="G80" s="8">
        <f t="shared" si="44"/>
        <v>0</v>
      </c>
      <c r="H80" s="8">
        <f t="shared" si="45"/>
        <v>0</v>
      </c>
      <c r="I80" s="8">
        <f t="shared" si="46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47">SUM(F82:F86)</f>
        <v>0</v>
      </c>
      <c r="G81" s="27">
        <f t="shared" si="47"/>
        <v>0</v>
      </c>
      <c r="H81" s="27">
        <f t="shared" si="47"/>
        <v>0</v>
      </c>
      <c r="I81" s="27">
        <f t="shared" si="47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48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>E83/4.9</f>
        <v>0</v>
      </c>
      <c r="G83" s="8">
        <v>0</v>
      </c>
      <c r="H83" s="8">
        <f t="shared" ref="H83:H88" si="49">E83+G83</f>
        <v>0</v>
      </c>
      <c r="I83" s="8">
        <f t="shared" ref="I83:I88" si="50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ref="F84:F86" si="51">E84/4.9</f>
        <v>0</v>
      </c>
      <c r="G84" s="8">
        <v>0</v>
      </c>
      <c r="H84" s="8">
        <f t="shared" si="49"/>
        <v>0</v>
      </c>
      <c r="I84" s="8">
        <f t="shared" si="50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51"/>
        <v>0</v>
      </c>
      <c r="G85" s="8">
        <v>0</v>
      </c>
      <c r="H85" s="8">
        <f t="shared" si="49"/>
        <v>0</v>
      </c>
      <c r="I85" s="8">
        <f t="shared" si="50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51"/>
        <v>0</v>
      </c>
      <c r="G86" s="8">
        <f>E86*0</f>
        <v>0</v>
      </c>
      <c r="H86" s="8">
        <f t="shared" si="49"/>
        <v>0</v>
      </c>
      <c r="I86" s="8">
        <f t="shared" si="50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ref="F87:F88" si="52">ROUND(E87/$F$7,2)</f>
        <v>0</v>
      </c>
      <c r="G87" s="8">
        <f t="shared" ref="G87:G88" si="53">ROUND(E87*$K$3,2)</f>
        <v>0</v>
      </c>
      <c r="H87" s="8">
        <f t="shared" si="49"/>
        <v>0</v>
      </c>
      <c r="I87" s="8">
        <f t="shared" si="50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52"/>
        <v>0</v>
      </c>
      <c r="G88" s="8">
        <f t="shared" si="53"/>
        <v>0</v>
      </c>
      <c r="H88" s="8">
        <f t="shared" si="49"/>
        <v>0</v>
      </c>
      <c r="I88" s="8">
        <f t="shared" si="50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54">F78+F81+F87+F88</f>
        <v>0</v>
      </c>
      <c r="G89" s="31">
        <f t="shared" si="54"/>
        <v>0</v>
      </c>
      <c r="H89" s="31">
        <f t="shared" si="54"/>
        <v>0</v>
      </c>
      <c r="I89" s="31">
        <f t="shared" si="54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55">ROUND(E91/$F$7,2)</f>
        <v>0</v>
      </c>
      <c r="G91" s="8">
        <f t="shared" ref="G91" si="56">ROUND(E91*$K$3,2)</f>
        <v>0</v>
      </c>
      <c r="H91" s="8">
        <f t="shared" ref="H91:H92" si="57">E91+G91</f>
        <v>0</v>
      </c>
      <c r="I91" s="8">
        <f t="shared" ref="I91:I92" si="58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55"/>
        <v>0</v>
      </c>
      <c r="G92" s="8">
        <v>0</v>
      </c>
      <c r="H92" s="8">
        <f t="shared" si="57"/>
        <v>0</v>
      </c>
      <c r="I92" s="8">
        <f t="shared" si="58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59">SUM(F91:F92)</f>
        <v>0</v>
      </c>
      <c r="G93" s="30">
        <f t="shared" si="59"/>
        <v>0</v>
      </c>
      <c r="H93" s="30">
        <f t="shared" si="59"/>
        <v>0</v>
      </c>
      <c r="I93" s="30">
        <f t="shared" si="59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60">E95/4.9</f>
        <v>0</v>
      </c>
      <c r="G95" s="21">
        <f t="shared" ref="G95:G96" si="61">E95*0.19</f>
        <v>0</v>
      </c>
      <c r="H95" s="21">
        <f t="shared" ref="H95:H96" si="62">E95+G95</f>
        <v>0</v>
      </c>
      <c r="I95" s="21">
        <f t="shared" ref="I95:I96" si="63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60"/>
        <v>0</v>
      </c>
      <c r="G96" s="21">
        <f t="shared" si="61"/>
        <v>0</v>
      </c>
      <c r="H96" s="21">
        <f t="shared" si="62"/>
        <v>0</v>
      </c>
      <c r="I96" s="21">
        <f t="shared" si="63"/>
        <v>0</v>
      </c>
      <c r="M96" s="1" t="s">
        <v>156</v>
      </c>
      <c r="N96" s="54">
        <f>SUM(N93:N95)</f>
        <v>0</v>
      </c>
      <c r="O96" s="127">
        <f>N96-'(11)F1 Tar'!C140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A6:I6"/>
    <mergeCell ref="F1:G1"/>
    <mergeCell ref="A2:C2"/>
    <mergeCell ref="A3:I3"/>
    <mergeCell ref="A4:I4"/>
    <mergeCell ref="A5:I5"/>
    <mergeCell ref="C18:D18"/>
    <mergeCell ref="C7:D7"/>
    <mergeCell ref="A8:C8"/>
    <mergeCell ref="H8:I8"/>
    <mergeCell ref="B9:D12"/>
    <mergeCell ref="E9:F11"/>
    <mergeCell ref="G9:G11"/>
    <mergeCell ref="H9:I10"/>
    <mergeCell ref="H11:I11"/>
    <mergeCell ref="B13:D13"/>
    <mergeCell ref="C14:D14"/>
    <mergeCell ref="B15:D15"/>
    <mergeCell ref="C16:D16"/>
    <mergeCell ref="C17:D17"/>
    <mergeCell ref="C33:D33"/>
    <mergeCell ref="C19:D19"/>
    <mergeCell ref="C21:D21"/>
    <mergeCell ref="C23:D23"/>
    <mergeCell ref="C25:D25"/>
    <mergeCell ref="B26:D26"/>
    <mergeCell ref="C27:D27"/>
    <mergeCell ref="C28:D28"/>
    <mergeCell ref="B29:D29"/>
    <mergeCell ref="C30:D30"/>
    <mergeCell ref="C31:D31"/>
    <mergeCell ref="C32:D32"/>
    <mergeCell ref="C20:D20"/>
    <mergeCell ref="B45:D45"/>
    <mergeCell ref="C34:D34"/>
    <mergeCell ref="C35:D35"/>
    <mergeCell ref="C36:D36"/>
    <mergeCell ref="B37:D37"/>
    <mergeCell ref="B38:D38"/>
    <mergeCell ref="B39:D39"/>
    <mergeCell ref="B40:D40"/>
    <mergeCell ref="B41:D41"/>
    <mergeCell ref="B42:D42"/>
    <mergeCell ref="B43:D43"/>
    <mergeCell ref="B44:D44"/>
    <mergeCell ref="C58:D58"/>
    <mergeCell ref="B46:D46"/>
    <mergeCell ref="C47:D47"/>
    <mergeCell ref="C48:D48"/>
    <mergeCell ref="B49:D49"/>
    <mergeCell ref="B50:D50"/>
    <mergeCell ref="B51:D51"/>
    <mergeCell ref="B52:D52"/>
    <mergeCell ref="B53:D53"/>
    <mergeCell ref="B54:D54"/>
    <mergeCell ref="C55:D55"/>
    <mergeCell ref="C57:D57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9:D69"/>
    <mergeCell ref="C84:D84"/>
    <mergeCell ref="C71:D71"/>
    <mergeCell ref="C72:D72"/>
    <mergeCell ref="C73:D73"/>
    <mergeCell ref="C74:D74"/>
    <mergeCell ref="C75:D75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A96:D96"/>
    <mergeCell ref="C85:D85"/>
    <mergeCell ref="C86:D86"/>
    <mergeCell ref="C88:D88"/>
    <mergeCell ref="C89:D89"/>
    <mergeCell ref="C91:D91"/>
    <mergeCell ref="C92:D92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22:I22 F37:I37 H81 H93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325D-FEC0-4A90-91D5-49F363D657D9}">
  <dimension ref="A1:Q100"/>
  <sheetViews>
    <sheetView view="pageBreakPreview" zoomScale="170" zoomScaleNormal="100" zoomScaleSheetLayoutView="170" workbookViewId="0">
      <selection activeCell="G51" sqref="G51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" style="1" customWidth="1"/>
    <col min="13" max="13" width="12.3984375" style="1" customWidth="1"/>
    <col min="14" max="14" width="10.59765625" style="1" customWidth="1"/>
    <col min="15" max="15" width="11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DG!D87</f>
        <v>Statia 110/20 kV Mirauti, jud. SV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:F24" si="2">ROUND(E17/$F$7,2)</f>
        <v>0</v>
      </c>
      <c r="G17" s="9">
        <f t="shared" ref="G17:G24" si="3">ROUND(E17*$K$3,2)</f>
        <v>0</v>
      </c>
      <c r="H17" s="9">
        <f t="shared" ref="H17:H24" si="4">E17+G17</f>
        <v>0</v>
      </c>
      <c r="I17" s="9">
        <f t="shared" ref="I17:I24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'(12)F1 Mir'!H17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'(12)F1 Mir'!H18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'(12)F1 Mir'!H19</f>
        <v>0</v>
      </c>
      <c r="F20" s="8">
        <f t="shared" ref="F20:F21" si="6">ROUND(E20/$F$7,2)</f>
        <v>0</v>
      </c>
      <c r="G20" s="8">
        <f t="shared" ref="G20:G21" si="7">ROUND(E20*$K$3,2)</f>
        <v>0</v>
      </c>
      <c r="H20" s="8">
        <f t="shared" ref="H20:H21" si="8">E20+G20</f>
        <v>0</v>
      </c>
      <c r="I20" s="8">
        <f t="shared" ref="I20:I21" si="9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'(12)F1 Mir'!H20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'(12)F1 Mir'!C44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'(4)F1 IMR'!B42</f>
        <v xml:space="preserve">              Lucrari protectia mediului</v>
      </c>
      <c r="D23" s="273"/>
      <c r="E23" s="8">
        <f>'(12)F1 Mir'!C46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8">
        <f t="shared" si="5"/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1">F16++F17+F22+F24</f>
        <v>0</v>
      </c>
      <c r="G25" s="26">
        <f t="shared" si="11"/>
        <v>0</v>
      </c>
      <c r="H25" s="26">
        <f t="shared" si="11"/>
        <v>0</v>
      </c>
      <c r="I25" s="26">
        <f t="shared" si="11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2">ROUND(E27/$F$7,2)</f>
        <v>0</v>
      </c>
      <c r="G27" s="8">
        <f t="shared" ref="G27" si="13">ROUND(E27*$K$3,2)</f>
        <v>0</v>
      </c>
      <c r="H27" s="8">
        <f t="shared" ref="H27" si="14">E27+G27</f>
        <v>0</v>
      </c>
      <c r="I27" s="8">
        <f t="shared" ref="I27" si="15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16">F27</f>
        <v>0</v>
      </c>
      <c r="G28" s="26">
        <f t="shared" si="16"/>
        <v>0</v>
      </c>
      <c r="H28" s="26">
        <f t="shared" si="16"/>
        <v>0</v>
      </c>
      <c r="I28" s="26">
        <f t="shared" si="16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17">SUM(F31:F33)</f>
        <v>0</v>
      </c>
      <c r="G30" s="27">
        <f t="shared" si="17"/>
        <v>0</v>
      </c>
      <c r="H30" s="27">
        <f t="shared" si="17"/>
        <v>0</v>
      </c>
      <c r="I30" s="27">
        <f t="shared" si="17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18">ROUND(E31/$F$7,2)</f>
        <v>0</v>
      </c>
      <c r="G31" s="8">
        <f t="shared" ref="G31:G36" si="19">ROUND(E31*$K$3,2)</f>
        <v>0</v>
      </c>
      <c r="H31" s="8">
        <f t="shared" ref="H31:H36" si="20">E31+G31</f>
        <v>0</v>
      </c>
      <c r="I31" s="8">
        <f t="shared" ref="I31:I36" si="21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18"/>
        <v>0</v>
      </c>
      <c r="G32" s="8">
        <f t="shared" si="19"/>
        <v>0</v>
      </c>
      <c r="H32" s="8">
        <f t="shared" si="20"/>
        <v>0</v>
      </c>
      <c r="I32" s="8">
        <f t="shared" si="21"/>
        <v>0</v>
      </c>
    </row>
    <row r="33" spans="1:13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18"/>
        <v>0</v>
      </c>
      <c r="G33" s="8">
        <f t="shared" si="19"/>
        <v>0</v>
      </c>
      <c r="H33" s="8">
        <f t="shared" si="20"/>
        <v>0</v>
      </c>
      <c r="I33" s="8">
        <f t="shared" si="21"/>
        <v>0</v>
      </c>
    </row>
    <row r="34" spans="1:13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18"/>
        <v>0</v>
      </c>
      <c r="G34" s="8">
        <f t="shared" si="19"/>
        <v>0</v>
      </c>
      <c r="H34" s="8">
        <f t="shared" si="20"/>
        <v>0</v>
      </c>
      <c r="I34" s="8">
        <f t="shared" si="21"/>
        <v>0</v>
      </c>
      <c r="J34" s="7">
        <v>1</v>
      </c>
    </row>
    <row r="35" spans="1:13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18"/>
        <v>0</v>
      </c>
      <c r="G35" s="8">
        <f t="shared" si="19"/>
        <v>0</v>
      </c>
      <c r="H35" s="8">
        <f t="shared" si="20"/>
        <v>0</v>
      </c>
      <c r="I35" s="8">
        <f t="shared" si="21"/>
        <v>0</v>
      </c>
      <c r="J35" s="7">
        <v>0</v>
      </c>
    </row>
    <row r="36" spans="1:13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18"/>
        <v>0</v>
      </c>
      <c r="G36" s="8">
        <f t="shared" si="19"/>
        <v>0</v>
      </c>
      <c r="H36" s="8">
        <f t="shared" si="20"/>
        <v>0</v>
      </c>
      <c r="I36" s="8">
        <f t="shared" si="21"/>
        <v>0</v>
      </c>
      <c r="J36" s="7"/>
      <c r="L36" s="32"/>
      <c r="M36" s="32"/>
    </row>
    <row r="37" spans="1:13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2">SUM(F38:F43)</f>
        <v>0</v>
      </c>
      <c r="G37" s="36">
        <f t="shared" si="22"/>
        <v>0</v>
      </c>
      <c r="H37" s="36">
        <f t="shared" si="22"/>
        <v>0</v>
      </c>
      <c r="I37" s="36">
        <f t="shared" si="22"/>
        <v>0</v>
      </c>
      <c r="J37" s="7"/>
      <c r="L37" s="32"/>
      <c r="M37" s="32"/>
    </row>
    <row r="38" spans="1:13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3">ROUND(E38/$F$7,2)</f>
        <v>0</v>
      </c>
      <c r="G38" s="8">
        <f t="shared" ref="G38:G43" si="24">ROUND(E38*$K$3,2)</f>
        <v>0</v>
      </c>
      <c r="H38" s="8">
        <f t="shared" ref="H38:H44" si="25">E38+G38</f>
        <v>0</v>
      </c>
      <c r="I38" s="8">
        <f t="shared" ref="I38:I44" si="26">ROUND(G38/$F$7,2)+F38</f>
        <v>0</v>
      </c>
      <c r="J38" s="7"/>
      <c r="L38" s="32"/>
      <c r="M38" s="32"/>
    </row>
    <row r="39" spans="1:13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3"/>
        <v>0</v>
      </c>
      <c r="G39" s="8">
        <f t="shared" si="24"/>
        <v>0</v>
      </c>
      <c r="H39" s="8">
        <f t="shared" si="25"/>
        <v>0</v>
      </c>
      <c r="I39" s="8">
        <f t="shared" si="26"/>
        <v>0</v>
      </c>
      <c r="J39" s="7"/>
      <c r="L39" s="32"/>
      <c r="M39" s="32"/>
    </row>
    <row r="40" spans="1:13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3"/>
        <v>0</v>
      </c>
      <c r="G40" s="8">
        <f t="shared" si="24"/>
        <v>0</v>
      </c>
      <c r="H40" s="8">
        <f t="shared" si="25"/>
        <v>0</v>
      </c>
      <c r="I40" s="8">
        <f t="shared" si="26"/>
        <v>0</v>
      </c>
      <c r="J40" s="7"/>
      <c r="L40" s="32"/>
      <c r="M40" s="32"/>
    </row>
    <row r="41" spans="1:13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3"/>
        <v>0</v>
      </c>
      <c r="G41" s="8">
        <f t="shared" si="24"/>
        <v>0</v>
      </c>
      <c r="H41" s="8">
        <f t="shared" si="25"/>
        <v>0</v>
      </c>
      <c r="I41" s="8">
        <f t="shared" si="26"/>
        <v>0</v>
      </c>
      <c r="J41" s="7"/>
      <c r="L41" s="32"/>
      <c r="M41" s="32"/>
    </row>
    <row r="42" spans="1:13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3"/>
        <v>0</v>
      </c>
      <c r="G42" s="8">
        <f t="shared" si="24"/>
        <v>0</v>
      </c>
      <c r="H42" s="8">
        <f t="shared" si="25"/>
        <v>0</v>
      </c>
      <c r="I42" s="8">
        <f t="shared" si="26"/>
        <v>0</v>
      </c>
      <c r="J42" s="7"/>
      <c r="L42" s="32"/>
      <c r="M42" s="32"/>
    </row>
    <row r="43" spans="1:13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3"/>
        <v>0</v>
      </c>
      <c r="G43" s="8">
        <f t="shared" si="24"/>
        <v>0</v>
      </c>
      <c r="H43" s="8">
        <f t="shared" si="25"/>
        <v>0</v>
      </c>
      <c r="I43" s="8">
        <f t="shared" si="26"/>
        <v>0</v>
      </c>
      <c r="J43" s="7">
        <v>4</v>
      </c>
    </row>
    <row r="44" spans="1:13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3"/>
        <v>0</v>
      </c>
      <c r="G44" s="8">
        <v>0</v>
      </c>
      <c r="H44" s="8">
        <f t="shared" si="25"/>
        <v>0</v>
      </c>
      <c r="I44" s="8">
        <f t="shared" si="26"/>
        <v>0</v>
      </c>
      <c r="J44" s="7"/>
    </row>
    <row r="45" spans="1:13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3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27">F47+F48</f>
        <v>0</v>
      </c>
      <c r="G46" s="33">
        <f t="shared" si="27"/>
        <v>0</v>
      </c>
      <c r="H46" s="33">
        <f t="shared" si="27"/>
        <v>0</v>
      </c>
      <c r="I46" s="33">
        <f t="shared" si="27"/>
        <v>0</v>
      </c>
      <c r="J46" s="61"/>
    </row>
    <row r="47" spans="1:13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9" si="28">ROUND(E47/$F$7,2)</f>
        <v>0</v>
      </c>
      <c r="G47" s="8">
        <v>0</v>
      </c>
      <c r="H47" s="8">
        <f t="shared" ref="H47:H49" si="29">E47+G47</f>
        <v>0</v>
      </c>
      <c r="I47" s="8">
        <f t="shared" ref="I47:I49" si="30">ROUND(G47/$F$7,2)+F47</f>
        <v>0</v>
      </c>
      <c r="J47" s="61"/>
    </row>
    <row r="48" spans="1:13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28"/>
        <v>0</v>
      </c>
      <c r="G48" s="8">
        <f t="shared" ref="G48:G49" si="31">ROUND(E48*$K$3,2)</f>
        <v>0</v>
      </c>
      <c r="H48" s="8">
        <f t="shared" si="29"/>
        <v>0</v>
      </c>
      <c r="I48" s="8">
        <f t="shared" si="30"/>
        <v>0</v>
      </c>
      <c r="J48" s="61"/>
    </row>
    <row r="49" spans="1:17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si="28"/>
        <v>0</v>
      </c>
      <c r="G49" s="8">
        <f t="shared" si="31"/>
        <v>0</v>
      </c>
      <c r="H49" s="8">
        <f t="shared" si="29"/>
        <v>0</v>
      </c>
      <c r="I49" s="8">
        <f t="shared" si="30"/>
        <v>0</v>
      </c>
      <c r="J49" s="7"/>
    </row>
    <row r="50" spans="1:17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32">F51+F54</f>
        <v>0</v>
      </c>
      <c r="G50" s="36">
        <f t="shared" si="32"/>
        <v>0</v>
      </c>
      <c r="H50" s="36">
        <f t="shared" si="32"/>
        <v>0</v>
      </c>
      <c r="I50" s="36">
        <f t="shared" si="32"/>
        <v>0</v>
      </c>
      <c r="J50" s="7"/>
    </row>
    <row r="51" spans="1:17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33">F53+F52</f>
        <v>0</v>
      </c>
      <c r="G51" s="36">
        <f t="shared" si="33"/>
        <v>0</v>
      </c>
      <c r="H51" s="36">
        <f t="shared" si="33"/>
        <v>0</v>
      </c>
      <c r="I51" s="36">
        <f t="shared" si="33"/>
        <v>0</v>
      </c>
      <c r="J51" s="7"/>
    </row>
    <row r="52" spans="1:17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34">ROUND(E52/$F$7,2)</f>
        <v>0</v>
      </c>
      <c r="G52" s="8">
        <f t="shared" ref="G52:G53" si="35">ROUND(E52*$K$3,2)</f>
        <v>0</v>
      </c>
      <c r="H52" s="8">
        <f t="shared" ref="H52:H54" si="36">E52+G52</f>
        <v>0</v>
      </c>
      <c r="I52" s="8">
        <f t="shared" ref="I52:I54" si="37">ROUND(G52/$F$7,2)+F52</f>
        <v>0</v>
      </c>
      <c r="J52" s="7"/>
    </row>
    <row r="53" spans="1:17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34"/>
        <v>0</v>
      </c>
      <c r="G53" s="8">
        <f t="shared" si="35"/>
        <v>0</v>
      </c>
      <c r="H53" s="8">
        <f t="shared" si="36"/>
        <v>0</v>
      </c>
      <c r="I53" s="8">
        <f t="shared" si="37"/>
        <v>0</v>
      </c>
      <c r="J53" s="7"/>
    </row>
    <row r="54" spans="1:17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34"/>
        <v>0</v>
      </c>
      <c r="G54" s="8">
        <v>0</v>
      </c>
      <c r="H54" s="8">
        <f t="shared" si="36"/>
        <v>0</v>
      </c>
      <c r="I54" s="8">
        <f t="shared" si="37"/>
        <v>0</v>
      </c>
      <c r="J54" s="7"/>
    </row>
    <row r="55" spans="1:17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  <c r="L55" s="32"/>
      <c r="M55" s="32"/>
      <c r="N55" s="32"/>
      <c r="O55" s="32"/>
      <c r="P55" s="32"/>
      <c r="Q55" s="32"/>
    </row>
    <row r="56" spans="1:17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  <c r="L56" s="32"/>
      <c r="M56" s="32"/>
      <c r="N56" s="32"/>
      <c r="O56" s="32"/>
      <c r="P56" s="32"/>
      <c r="Q56" s="32"/>
    </row>
    <row r="57" spans="1:17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>ROUND(E57/$F$7,2)</f>
        <v>0</v>
      </c>
      <c r="G57" s="9">
        <f t="shared" ref="G57:G75" si="38">ROUND(E57*$K$3,2)</f>
        <v>0</v>
      </c>
      <c r="H57" s="9">
        <f t="shared" ref="H57:H75" si="39">E57+G57</f>
        <v>0</v>
      </c>
      <c r="I57" s="9">
        <f t="shared" ref="I57:I75" si="40">ROUND(G57/$F$7,2)+F57</f>
        <v>0</v>
      </c>
      <c r="L57" s="32"/>
      <c r="M57" s="32"/>
      <c r="N57" s="32"/>
      <c r="O57" s="32"/>
      <c r="P57" s="32"/>
      <c r="Q57" s="32"/>
    </row>
    <row r="58" spans="1:17" ht="12" customHeight="1" x14ac:dyDescent="0.25">
      <c r="A58" s="46"/>
      <c r="B58" s="28"/>
      <c r="C58" s="272" t="s">
        <v>682</v>
      </c>
      <c r="D58" s="273"/>
      <c r="E58" s="33">
        <f>'(12)F1 Mir'!H59</f>
        <v>0</v>
      </c>
      <c r="F58" s="8">
        <f t="shared" ref="F58:F75" si="41">ROUND(E58/$F$7,2)</f>
        <v>0</v>
      </c>
      <c r="G58" s="8">
        <f t="shared" si="38"/>
        <v>0</v>
      </c>
      <c r="H58" s="8">
        <f t="shared" si="39"/>
        <v>0</v>
      </c>
      <c r="I58" s="8">
        <f t="shared" si="40"/>
        <v>0</v>
      </c>
      <c r="L58" s="32"/>
      <c r="M58" s="32"/>
      <c r="N58" s="32"/>
      <c r="O58" s="32"/>
      <c r="P58" s="32"/>
      <c r="Q58" s="32"/>
    </row>
    <row r="59" spans="1:17" ht="12" customHeight="1" x14ac:dyDescent="0.25">
      <c r="A59" s="46"/>
      <c r="B59" s="28"/>
      <c r="C59" s="272" t="s">
        <v>683</v>
      </c>
      <c r="D59" s="273"/>
      <c r="E59" s="33">
        <f>'(12)F1 Mir'!H60</f>
        <v>0</v>
      </c>
      <c r="F59" s="8">
        <f t="shared" si="41"/>
        <v>0</v>
      </c>
      <c r="G59" s="8">
        <f t="shared" si="38"/>
        <v>0</v>
      </c>
      <c r="H59" s="8">
        <f t="shared" si="39"/>
        <v>0</v>
      </c>
      <c r="I59" s="8">
        <f t="shared" si="40"/>
        <v>0</v>
      </c>
      <c r="L59" s="32"/>
      <c r="M59" s="32"/>
      <c r="N59" s="32"/>
      <c r="O59" s="32"/>
      <c r="P59" s="32"/>
      <c r="Q59" s="32"/>
    </row>
    <row r="60" spans="1:17" ht="12" customHeight="1" x14ac:dyDescent="0.25">
      <c r="A60" s="46"/>
      <c r="B60" s="28"/>
      <c r="C60" s="272" t="s">
        <v>684</v>
      </c>
      <c r="D60" s="273"/>
      <c r="E60" s="33">
        <f>'(12)F1 Mir'!H61</f>
        <v>0</v>
      </c>
      <c r="F60" s="8">
        <f t="shared" si="41"/>
        <v>0</v>
      </c>
      <c r="G60" s="8">
        <f t="shared" si="38"/>
        <v>0</v>
      </c>
      <c r="H60" s="8">
        <f t="shared" si="39"/>
        <v>0</v>
      </c>
      <c r="I60" s="8">
        <f t="shared" si="40"/>
        <v>0</v>
      </c>
      <c r="L60" s="32"/>
      <c r="M60" s="32"/>
      <c r="N60" s="32"/>
      <c r="O60" s="32"/>
      <c r="P60" s="32"/>
      <c r="Q60" s="32"/>
    </row>
    <row r="61" spans="1:17" ht="12" customHeight="1" x14ac:dyDescent="0.25">
      <c r="A61" s="46"/>
      <c r="B61" s="28"/>
      <c r="C61" s="272" t="s">
        <v>685</v>
      </c>
      <c r="D61" s="273"/>
      <c r="E61" s="33">
        <f>'(12)F1 Mir'!H62</f>
        <v>0</v>
      </c>
      <c r="F61" s="8">
        <f t="shared" si="41"/>
        <v>0</v>
      </c>
      <c r="G61" s="8">
        <f t="shared" si="38"/>
        <v>0</v>
      </c>
      <c r="H61" s="8">
        <f t="shared" si="39"/>
        <v>0</v>
      </c>
      <c r="I61" s="8">
        <f t="shared" si="40"/>
        <v>0</v>
      </c>
      <c r="L61" s="32"/>
      <c r="M61" s="32"/>
      <c r="N61" s="32"/>
      <c r="O61" s="32"/>
      <c r="P61" s="32"/>
      <c r="Q61" s="32"/>
    </row>
    <row r="62" spans="1:17" x14ac:dyDescent="0.25">
      <c r="A62" s="40"/>
      <c r="B62" s="107"/>
      <c r="C62" s="270" t="s">
        <v>158</v>
      </c>
      <c r="D62" s="271"/>
      <c r="E62" s="33">
        <f>'(11)F1 Tar'!H68</f>
        <v>0</v>
      </c>
      <c r="F62" s="8">
        <f t="shared" si="41"/>
        <v>0</v>
      </c>
      <c r="G62" s="8">
        <f t="shared" si="38"/>
        <v>0</v>
      </c>
      <c r="H62" s="8">
        <f t="shared" si="39"/>
        <v>0</v>
      </c>
      <c r="I62" s="8">
        <f t="shared" si="40"/>
        <v>0</v>
      </c>
      <c r="L62" s="32"/>
      <c r="M62" s="32"/>
      <c r="N62" s="32"/>
      <c r="O62" s="32"/>
      <c r="P62" s="32"/>
      <c r="Q62" s="32"/>
    </row>
    <row r="63" spans="1:17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1"/>
        <v>0</v>
      </c>
      <c r="G63" s="9">
        <f t="shared" si="38"/>
        <v>0</v>
      </c>
      <c r="H63" s="9">
        <f t="shared" si="39"/>
        <v>0</v>
      </c>
      <c r="I63" s="9">
        <f t="shared" si="40"/>
        <v>0</v>
      </c>
      <c r="L63" s="32"/>
      <c r="M63" s="32"/>
      <c r="N63" s="32"/>
      <c r="O63" s="32"/>
      <c r="P63" s="32"/>
      <c r="Q63" s="32"/>
    </row>
    <row r="64" spans="1:17" x14ac:dyDescent="0.25">
      <c r="A64" s="46"/>
      <c r="B64" s="28"/>
      <c r="C64" s="272" t="s">
        <v>682</v>
      </c>
      <c r="D64" s="273"/>
      <c r="E64" s="33">
        <f>'(12)F1 Mir'!H104</f>
        <v>0</v>
      </c>
      <c r="F64" s="8">
        <f t="shared" si="41"/>
        <v>0</v>
      </c>
      <c r="G64" s="8">
        <f t="shared" si="38"/>
        <v>0</v>
      </c>
      <c r="H64" s="8">
        <f t="shared" si="39"/>
        <v>0</v>
      </c>
      <c r="I64" s="8">
        <f t="shared" si="40"/>
        <v>0</v>
      </c>
      <c r="L64" s="32"/>
      <c r="M64" s="32"/>
      <c r="N64" s="32"/>
      <c r="O64" s="32"/>
      <c r="P64" s="32"/>
      <c r="Q64" s="32"/>
    </row>
    <row r="65" spans="1:17" x14ac:dyDescent="0.25">
      <c r="A65" s="46"/>
      <c r="B65" s="28"/>
      <c r="C65" s="272" t="s">
        <v>683</v>
      </c>
      <c r="D65" s="273"/>
      <c r="E65" s="33">
        <f>'(12)F1 Mir'!H105</f>
        <v>0</v>
      </c>
      <c r="F65" s="8">
        <f t="shared" si="41"/>
        <v>0</v>
      </c>
      <c r="G65" s="8">
        <f t="shared" si="38"/>
        <v>0</v>
      </c>
      <c r="H65" s="8">
        <f t="shared" si="39"/>
        <v>0</v>
      </c>
      <c r="I65" s="8">
        <f t="shared" si="40"/>
        <v>0</v>
      </c>
      <c r="L65" s="32"/>
      <c r="M65" s="32"/>
      <c r="N65" s="32"/>
      <c r="O65" s="32"/>
      <c r="P65" s="32"/>
      <c r="Q65" s="32"/>
    </row>
    <row r="66" spans="1:17" x14ac:dyDescent="0.25">
      <c r="A66" s="40"/>
      <c r="B66" s="107"/>
      <c r="C66" s="272" t="s">
        <v>684</v>
      </c>
      <c r="D66" s="273"/>
      <c r="E66" s="33">
        <f>'(12)F1 Mir'!H106</f>
        <v>0</v>
      </c>
      <c r="F66" s="8">
        <f t="shared" si="41"/>
        <v>0</v>
      </c>
      <c r="G66" s="8">
        <f t="shared" si="38"/>
        <v>0</v>
      </c>
      <c r="H66" s="8">
        <f t="shared" si="39"/>
        <v>0</v>
      </c>
      <c r="I66" s="8">
        <f t="shared" si="40"/>
        <v>0</v>
      </c>
      <c r="L66" s="32"/>
      <c r="M66" s="32"/>
      <c r="N66" s="32"/>
      <c r="O66" s="32"/>
      <c r="P66" s="32"/>
      <c r="Q66" s="32"/>
    </row>
    <row r="67" spans="1:17" x14ac:dyDescent="0.25">
      <c r="A67" s="40"/>
      <c r="B67" s="107"/>
      <c r="C67" s="272" t="s">
        <v>685</v>
      </c>
      <c r="D67" s="273"/>
      <c r="E67" s="33">
        <f>'(12)F1 Mir'!H107</f>
        <v>0</v>
      </c>
      <c r="F67" s="8">
        <f t="shared" si="41"/>
        <v>0</v>
      </c>
      <c r="G67" s="8">
        <f t="shared" si="38"/>
        <v>0</v>
      </c>
      <c r="H67" s="8">
        <f t="shared" si="39"/>
        <v>0</v>
      </c>
      <c r="I67" s="8">
        <f t="shared" si="40"/>
        <v>0</v>
      </c>
      <c r="L67" s="32"/>
      <c r="M67" s="32"/>
      <c r="N67" s="32"/>
      <c r="O67" s="32"/>
      <c r="P67" s="32"/>
      <c r="Q67" s="32"/>
    </row>
    <row r="68" spans="1:17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1"/>
        <v>0</v>
      </c>
      <c r="G68" s="9">
        <f t="shared" si="38"/>
        <v>0</v>
      </c>
      <c r="H68" s="9">
        <f t="shared" si="39"/>
        <v>0</v>
      </c>
      <c r="I68" s="9">
        <f t="shared" si="40"/>
        <v>0</v>
      </c>
      <c r="L68" s="32"/>
      <c r="M68" s="32"/>
      <c r="N68" s="32"/>
      <c r="O68" s="32"/>
      <c r="P68" s="32"/>
      <c r="Q68" s="32"/>
    </row>
    <row r="69" spans="1:17" ht="10.95" customHeight="1" x14ac:dyDescent="0.25">
      <c r="A69" s="46"/>
      <c r="B69" s="28"/>
      <c r="C69" s="272" t="s">
        <v>682</v>
      </c>
      <c r="D69" s="273"/>
      <c r="E69" s="33">
        <f>'(12)F1 Mir'!H117</f>
        <v>0</v>
      </c>
      <c r="F69" s="8">
        <f t="shared" si="41"/>
        <v>0</v>
      </c>
      <c r="G69" s="8">
        <f t="shared" si="38"/>
        <v>0</v>
      </c>
      <c r="H69" s="8">
        <f t="shared" si="39"/>
        <v>0</v>
      </c>
      <c r="I69" s="8">
        <f t="shared" si="40"/>
        <v>0</v>
      </c>
      <c r="L69" s="32"/>
      <c r="M69" s="32"/>
      <c r="N69" s="32"/>
      <c r="O69" s="32"/>
      <c r="P69" s="32"/>
      <c r="Q69" s="32"/>
    </row>
    <row r="70" spans="1:17" ht="10.95" customHeight="1" x14ac:dyDescent="0.25">
      <c r="A70" s="46"/>
      <c r="B70" s="28"/>
      <c r="C70" s="272" t="s">
        <v>683</v>
      </c>
      <c r="D70" s="273"/>
      <c r="E70" s="33">
        <f>'(12)F1 Mir'!H118</f>
        <v>0</v>
      </c>
      <c r="F70" s="8">
        <f t="shared" si="41"/>
        <v>0</v>
      </c>
      <c r="G70" s="8">
        <f t="shared" si="38"/>
        <v>0</v>
      </c>
      <c r="H70" s="8">
        <f t="shared" si="39"/>
        <v>0</v>
      </c>
      <c r="I70" s="8">
        <f t="shared" si="40"/>
        <v>0</v>
      </c>
    </row>
    <row r="71" spans="1:17" x14ac:dyDescent="0.25">
      <c r="A71" s="53"/>
      <c r="B71" s="114"/>
      <c r="C71" s="272" t="s">
        <v>684</v>
      </c>
      <c r="D71" s="273"/>
      <c r="E71" s="33">
        <f>'(12)F1 Mir'!H119</f>
        <v>0</v>
      </c>
      <c r="F71" s="8">
        <f t="shared" si="41"/>
        <v>0</v>
      </c>
      <c r="G71" s="8">
        <f t="shared" si="38"/>
        <v>0</v>
      </c>
      <c r="H71" s="8">
        <f t="shared" si="39"/>
        <v>0</v>
      </c>
      <c r="I71" s="8">
        <f t="shared" si="40"/>
        <v>0</v>
      </c>
    </row>
    <row r="72" spans="1:17" x14ac:dyDescent="0.25">
      <c r="A72" s="53"/>
      <c r="B72" s="114"/>
      <c r="C72" s="272" t="s">
        <v>685</v>
      </c>
      <c r="D72" s="273"/>
      <c r="E72" s="33">
        <f>'(12)F1 Mir'!H120</f>
        <v>0</v>
      </c>
      <c r="F72" s="8">
        <f t="shared" si="41"/>
        <v>0</v>
      </c>
      <c r="G72" s="8">
        <f t="shared" si="38"/>
        <v>0</v>
      </c>
      <c r="H72" s="8">
        <f t="shared" si="39"/>
        <v>0</v>
      </c>
      <c r="I72" s="8">
        <f t="shared" si="40"/>
        <v>0</v>
      </c>
    </row>
    <row r="73" spans="1:17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si="41"/>
        <v>0</v>
      </c>
      <c r="G73" s="8">
        <f t="shared" si="38"/>
        <v>0</v>
      </c>
      <c r="H73" s="8">
        <f t="shared" si="39"/>
        <v>0</v>
      </c>
      <c r="I73" s="8">
        <f t="shared" si="40"/>
        <v>0</v>
      </c>
    </row>
    <row r="74" spans="1:17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41"/>
        <v>0</v>
      </c>
      <c r="G74" s="8">
        <f t="shared" si="38"/>
        <v>0</v>
      </c>
      <c r="H74" s="8">
        <f t="shared" si="39"/>
        <v>0</v>
      </c>
      <c r="I74" s="8">
        <f t="shared" si="40"/>
        <v>0</v>
      </c>
    </row>
    <row r="75" spans="1:17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41"/>
        <v>0</v>
      </c>
      <c r="G75" s="8">
        <f t="shared" si="38"/>
        <v>0</v>
      </c>
      <c r="H75" s="8">
        <f t="shared" si="39"/>
        <v>0</v>
      </c>
      <c r="I75" s="8">
        <f t="shared" si="40"/>
        <v>0</v>
      </c>
    </row>
    <row r="76" spans="1:17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7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7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42">SUM(F79:F80)</f>
        <v>0</v>
      </c>
      <c r="G78" s="29">
        <f t="shared" si="42"/>
        <v>0</v>
      </c>
      <c r="H78" s="29">
        <f t="shared" si="42"/>
        <v>0</v>
      </c>
      <c r="I78" s="29">
        <f t="shared" si="42"/>
        <v>0</v>
      </c>
      <c r="J78" s="7"/>
    </row>
    <row r="79" spans="1:17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43">ROUND(E79/$F$7,2)</f>
        <v>0</v>
      </c>
      <c r="G79" s="8">
        <f t="shared" ref="G79:G80" si="44">ROUND(E79*$K$3,2)</f>
        <v>0</v>
      </c>
      <c r="H79" s="8">
        <f t="shared" ref="H79:H80" si="45">E79+G79</f>
        <v>0</v>
      </c>
      <c r="I79" s="8">
        <f t="shared" ref="I79:I80" si="46">ROUND(G79/$F$7,2)+F79</f>
        <v>0</v>
      </c>
      <c r="J79" s="7"/>
    </row>
    <row r="80" spans="1:17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43"/>
        <v>0</v>
      </c>
      <c r="G80" s="8">
        <f t="shared" si="44"/>
        <v>0</v>
      </c>
      <c r="H80" s="8">
        <f t="shared" si="45"/>
        <v>0</v>
      </c>
      <c r="I80" s="8">
        <f t="shared" si="46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47">SUM(F82:F86)</f>
        <v>0</v>
      </c>
      <c r="G81" s="27">
        <f t="shared" si="47"/>
        <v>0</v>
      </c>
      <c r="H81" s="27">
        <f>SUM(H82:H86)</f>
        <v>0</v>
      </c>
      <c r="I81" s="27">
        <f t="shared" si="47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48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>E83/4.9</f>
        <v>0</v>
      </c>
      <c r="G83" s="8">
        <v>0</v>
      </c>
      <c r="H83" s="8">
        <f t="shared" ref="H83:H88" si="49">E83+G83</f>
        <v>0</v>
      </c>
      <c r="I83" s="8">
        <f t="shared" ref="I83:I88" si="50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ref="F84:F86" si="51">E84/4.9</f>
        <v>0</v>
      </c>
      <c r="G84" s="8">
        <v>0</v>
      </c>
      <c r="H84" s="8">
        <f t="shared" si="49"/>
        <v>0</v>
      </c>
      <c r="I84" s="8">
        <f t="shared" si="50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51"/>
        <v>0</v>
      </c>
      <c r="G85" s="8">
        <v>0</v>
      </c>
      <c r="H85" s="8">
        <f t="shared" si="49"/>
        <v>0</v>
      </c>
      <c r="I85" s="8">
        <f t="shared" si="50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51"/>
        <v>0</v>
      </c>
      <c r="G86" s="8">
        <f>E86*0</f>
        <v>0</v>
      </c>
      <c r="H86" s="8">
        <f t="shared" si="49"/>
        <v>0</v>
      </c>
      <c r="I86" s="8">
        <f t="shared" si="50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ref="F87:F88" si="52">ROUND(E87/$F$7,2)</f>
        <v>0</v>
      </c>
      <c r="G87" s="8">
        <f t="shared" ref="G87:G88" si="53">ROUND(E87*$K$3,2)</f>
        <v>0</v>
      </c>
      <c r="H87" s="8">
        <f t="shared" si="49"/>
        <v>0</v>
      </c>
      <c r="I87" s="8">
        <f t="shared" si="50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52"/>
        <v>0</v>
      </c>
      <c r="G88" s="8">
        <f t="shared" si="53"/>
        <v>0</v>
      </c>
      <c r="H88" s="8">
        <f t="shared" si="49"/>
        <v>0</v>
      </c>
      <c r="I88" s="8">
        <f t="shared" si="50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54">F78+F81+F87+F88</f>
        <v>0</v>
      </c>
      <c r="G89" s="31">
        <f t="shared" si="54"/>
        <v>0</v>
      </c>
      <c r="H89" s="31">
        <f t="shared" si="54"/>
        <v>0</v>
      </c>
      <c r="I89" s="31">
        <f t="shared" si="54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55">ROUND(E91/$F$7,2)</f>
        <v>0</v>
      </c>
      <c r="G91" s="8">
        <f t="shared" ref="G91" si="56">ROUND(E91*$K$3,2)</f>
        <v>0</v>
      </c>
      <c r="H91" s="8">
        <f t="shared" ref="H91:H92" si="57">E91+G91</f>
        <v>0</v>
      </c>
      <c r="I91" s="8">
        <f t="shared" ref="I91:I92" si="58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55"/>
        <v>0</v>
      </c>
      <c r="G92" s="8">
        <v>0</v>
      </c>
      <c r="H92" s="8">
        <f t="shared" si="57"/>
        <v>0</v>
      </c>
      <c r="I92" s="8">
        <f t="shared" si="58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59">SUM(F91:F92)</f>
        <v>0</v>
      </c>
      <c r="G93" s="30">
        <f t="shared" si="59"/>
        <v>0</v>
      </c>
      <c r="H93" s="30">
        <f t="shared" si="59"/>
        <v>0</v>
      </c>
      <c r="I93" s="30">
        <f t="shared" si="59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60">E95/4.9</f>
        <v>0</v>
      </c>
      <c r="G95" s="21">
        <f t="shared" ref="G95:G96" si="61">E95*0.19</f>
        <v>0</v>
      </c>
      <c r="H95" s="21">
        <f t="shared" ref="H95:H96" si="62">E95+G95</f>
        <v>0</v>
      </c>
      <c r="I95" s="21">
        <f t="shared" ref="I95:I96" si="63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60"/>
        <v>0</v>
      </c>
      <c r="G96" s="21">
        <f t="shared" si="61"/>
        <v>0</v>
      </c>
      <c r="H96" s="21">
        <f t="shared" si="62"/>
        <v>0</v>
      </c>
      <c r="I96" s="21">
        <f t="shared" si="63"/>
        <v>0</v>
      </c>
      <c r="M96" s="1" t="s">
        <v>156</v>
      </c>
      <c r="N96" s="54">
        <f>SUM(N93:N95)</f>
        <v>0</v>
      </c>
      <c r="O96" s="127">
        <f>N96-'(12)F1 Mir'!C134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A6:I6"/>
    <mergeCell ref="F1:G1"/>
    <mergeCell ref="A2:C2"/>
    <mergeCell ref="A3:I3"/>
    <mergeCell ref="A4:I4"/>
    <mergeCell ref="A5:I5"/>
    <mergeCell ref="C18:D18"/>
    <mergeCell ref="C7:D7"/>
    <mergeCell ref="A8:C8"/>
    <mergeCell ref="H8:I8"/>
    <mergeCell ref="B9:D12"/>
    <mergeCell ref="E9:F11"/>
    <mergeCell ref="G9:G11"/>
    <mergeCell ref="H9:I10"/>
    <mergeCell ref="H11:I11"/>
    <mergeCell ref="B13:D13"/>
    <mergeCell ref="C14:D14"/>
    <mergeCell ref="B15:D15"/>
    <mergeCell ref="C16:D16"/>
    <mergeCell ref="C17:D17"/>
    <mergeCell ref="C33:D33"/>
    <mergeCell ref="C19:D19"/>
    <mergeCell ref="C21:D21"/>
    <mergeCell ref="C23:D23"/>
    <mergeCell ref="C25:D25"/>
    <mergeCell ref="B26:D26"/>
    <mergeCell ref="C27:D27"/>
    <mergeCell ref="C28:D28"/>
    <mergeCell ref="B29:D29"/>
    <mergeCell ref="C30:D30"/>
    <mergeCell ref="C31:D31"/>
    <mergeCell ref="C32:D32"/>
    <mergeCell ref="C20:D20"/>
    <mergeCell ref="B45:D45"/>
    <mergeCell ref="C34:D34"/>
    <mergeCell ref="C35:D35"/>
    <mergeCell ref="C36:D36"/>
    <mergeCell ref="B37:D37"/>
    <mergeCell ref="B38:D38"/>
    <mergeCell ref="B39:D39"/>
    <mergeCell ref="B40:D40"/>
    <mergeCell ref="B41:D41"/>
    <mergeCell ref="B42:D42"/>
    <mergeCell ref="B43:D43"/>
    <mergeCell ref="B44:D44"/>
    <mergeCell ref="C58:D58"/>
    <mergeCell ref="B46:D46"/>
    <mergeCell ref="C47:D47"/>
    <mergeCell ref="C48:D48"/>
    <mergeCell ref="B49:D49"/>
    <mergeCell ref="B50:D50"/>
    <mergeCell ref="B51:D51"/>
    <mergeCell ref="B52:D52"/>
    <mergeCell ref="B53:D53"/>
    <mergeCell ref="B54:D54"/>
    <mergeCell ref="C55:D55"/>
    <mergeCell ref="C57:D57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9:D69"/>
    <mergeCell ref="C84:D84"/>
    <mergeCell ref="C71:D71"/>
    <mergeCell ref="C72:D72"/>
    <mergeCell ref="C73:D73"/>
    <mergeCell ref="C74:D74"/>
    <mergeCell ref="C75:D75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A96:D96"/>
    <mergeCell ref="C85:D85"/>
    <mergeCell ref="C86:D86"/>
    <mergeCell ref="C88:D88"/>
    <mergeCell ref="C89:D89"/>
    <mergeCell ref="C91:D91"/>
    <mergeCell ref="C92:D92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22:I22 F37:I37 H81 H9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CC642-66C2-4326-B1C6-780B4D89D5A7}">
  <dimension ref="A1:H133"/>
  <sheetViews>
    <sheetView topLeftCell="A22" zoomScale="140" zoomScaleNormal="140" zoomScaleSheetLayoutView="100" workbookViewId="0">
      <selection activeCell="C125" sqref="C125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1.5" style="67" customWidth="1"/>
    <col min="6" max="6" width="8.69921875" style="67"/>
    <col min="7" max="7" width="12.09765625" style="67" customWidth="1"/>
    <col min="8" max="8" width="12.39843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ht="13.2" x14ac:dyDescent="0.25">
      <c r="A4" s="283" t="str">
        <f>DG!A5</f>
        <v>Modernizare si integrare in SCADA statii de transformare  din gestiunea Delgaz Grid – Etapa 4</v>
      </c>
      <c r="B4" s="283"/>
      <c r="C4" s="283"/>
      <c r="D4" s="283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DG!D76</f>
        <v>Statia 110/20 kV Belcesti, jud. IS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C14+C15+C38+C41</f>
        <v>0</v>
      </c>
      <c r="D13" s="102">
        <f>D14+D15+D38+D41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SUM(C17:C37)</f>
        <v>0</v>
      </c>
      <c r="D15" s="68">
        <f>SUM(D17:D37)</f>
        <v>0</v>
      </c>
    </row>
    <row r="16" spans="1:5" x14ac:dyDescent="0.25">
      <c r="A16" s="69" t="s">
        <v>25</v>
      </c>
      <c r="B16" s="70" t="str">
        <f>DG!D17</f>
        <v>Statia 110/20 kV Belcesti, jud. IS</v>
      </c>
      <c r="C16" s="66"/>
      <c r="D16" s="66"/>
    </row>
    <row r="17" spans="1:8" x14ac:dyDescent="0.25">
      <c r="A17" s="165" t="s">
        <v>177</v>
      </c>
      <c r="B17" s="166" t="str">
        <f>"Demolari-FUNDATII SI SUPORTI"</f>
        <v>Demolari-FUNDATII SI SUPORTI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C17+C18+C25+C298+C20+C21+C22+C23+C29</f>
        <v>0</v>
      </c>
    </row>
    <row r="18" spans="1:8" ht="11.1" customHeight="1" x14ac:dyDescent="0.25">
      <c r="A18" s="165" t="s">
        <v>178</v>
      </c>
      <c r="B18" s="166" t="str">
        <f>"Demolari-FUNDATII INTRERUPATOARE"</f>
        <v>Demolari-FUNDATII INTRERUPATOARE</v>
      </c>
      <c r="C18" s="148">
        <v>0</v>
      </c>
      <c r="D18" s="149">
        <f>C18</f>
        <v>0</v>
      </c>
      <c r="E18" s="137" t="s">
        <v>677</v>
      </c>
      <c r="G18" s="138" t="s">
        <v>678</v>
      </c>
      <c r="H18" s="164">
        <f>C26+C34</f>
        <v>0</v>
      </c>
    </row>
    <row r="19" spans="1:8" ht="11.1" customHeight="1" x14ac:dyDescent="0.25">
      <c r="A19" s="167" t="s">
        <v>179</v>
      </c>
      <c r="B19" s="168" t="str">
        <f>"Demolare TSI + BS"</f>
        <v>Demolare TSI + BS</v>
      </c>
      <c r="C19" s="156">
        <v>0</v>
      </c>
      <c r="D19" s="157">
        <f t="shared" ref="D19:D23" si="0">C19</f>
        <v>0</v>
      </c>
      <c r="E19" s="139" t="s">
        <v>679</v>
      </c>
      <c r="G19" s="139" t="s">
        <v>679</v>
      </c>
      <c r="H19" s="133">
        <f>C19+C27+C28+C30+C31+C33</f>
        <v>0</v>
      </c>
    </row>
    <row r="20" spans="1:8" ht="11.1" customHeight="1" x14ac:dyDescent="0.25">
      <c r="A20" s="165" t="s">
        <v>180</v>
      </c>
      <c r="B20" s="166" t="str">
        <f>"Demolare cuva trafo putere"</f>
        <v>Demolare cuva trafo putere</v>
      </c>
      <c r="C20" s="148">
        <v>0</v>
      </c>
      <c r="D20" s="149">
        <f t="shared" si="0"/>
        <v>0</v>
      </c>
      <c r="E20" s="137" t="s">
        <v>677</v>
      </c>
      <c r="G20" s="185" t="s">
        <v>680</v>
      </c>
      <c r="H20" s="164">
        <f>C24+C32+C35+C36+C37</f>
        <v>0</v>
      </c>
    </row>
    <row r="21" spans="1:8" ht="11.1" customHeight="1" x14ac:dyDescent="0.25">
      <c r="A21" s="165" t="s">
        <v>181</v>
      </c>
      <c r="B21" s="166" t="str">
        <f>"Demolare pod bare"</f>
        <v>Demolare pod bare</v>
      </c>
      <c r="C21" s="148">
        <v>0</v>
      </c>
      <c r="D21" s="149">
        <f t="shared" si="0"/>
        <v>0</v>
      </c>
      <c r="E21" s="137" t="s">
        <v>677</v>
      </c>
    </row>
    <row r="22" spans="1:8" ht="11.1" customHeight="1" x14ac:dyDescent="0.25">
      <c r="A22" s="165" t="s">
        <v>182</v>
      </c>
      <c r="B22" s="166" t="str">
        <f>"Demolare rigle+stalpi"</f>
        <v>Demolare rigle+stalpi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ht="11.1" customHeight="1" x14ac:dyDescent="0.25">
      <c r="A23" s="165" t="s">
        <v>183</v>
      </c>
      <c r="B23" s="166" t="str">
        <f>"Demolare fundatii stalpi cadre"</f>
        <v>Demolare fundatii stalpi cadre</v>
      </c>
      <c r="C23" s="148">
        <v>0</v>
      </c>
      <c r="D23" s="149">
        <f t="shared" si="0"/>
        <v>0</v>
      </c>
      <c r="E23" s="137" t="s">
        <v>677</v>
      </c>
    </row>
    <row r="24" spans="1:8" ht="11.1" customHeight="1" x14ac:dyDescent="0.25">
      <c r="A24" s="186" t="s">
        <v>184</v>
      </c>
      <c r="B24" s="187" t="str">
        <f>"Demolare imprejmuire"</f>
        <v>Demolare imprejmuire</v>
      </c>
      <c r="C24" s="188">
        <v>0</v>
      </c>
      <c r="D24" s="189">
        <f t="shared" ref="D24" si="1">C24</f>
        <v>0</v>
      </c>
      <c r="E24" s="185" t="s">
        <v>680</v>
      </c>
    </row>
    <row r="25" spans="1:8" ht="11.1" customHeight="1" x14ac:dyDescent="0.25">
      <c r="A25" s="146" t="s">
        <v>1749</v>
      </c>
      <c r="B25" s="147" t="s">
        <v>780</v>
      </c>
      <c r="C25" s="148">
        <v>0</v>
      </c>
      <c r="D25" s="149">
        <f t="shared" ref="D25:D38" si="2">C25</f>
        <v>0</v>
      </c>
      <c r="E25" s="137" t="s">
        <v>677</v>
      </c>
    </row>
    <row r="26" spans="1:8" ht="11.1" customHeight="1" x14ac:dyDescent="0.25">
      <c r="A26" s="150" t="s">
        <v>1750</v>
      </c>
      <c r="B26" s="151" t="s">
        <v>781</v>
      </c>
      <c r="C26" s="152">
        <v>0</v>
      </c>
      <c r="D26" s="153">
        <f t="shared" si="2"/>
        <v>0</v>
      </c>
      <c r="E26" s="138" t="s">
        <v>678</v>
      </c>
    </row>
    <row r="27" spans="1:8" ht="11.1" customHeight="1" x14ac:dyDescent="0.25">
      <c r="A27" s="154" t="s">
        <v>1751</v>
      </c>
      <c r="B27" s="155" t="s">
        <v>357</v>
      </c>
      <c r="C27" s="156">
        <v>0</v>
      </c>
      <c r="D27" s="157">
        <f t="shared" si="2"/>
        <v>0</v>
      </c>
      <c r="E27" s="139" t="s">
        <v>679</v>
      </c>
    </row>
    <row r="28" spans="1:8" ht="11.1" customHeight="1" x14ac:dyDescent="0.25">
      <c r="A28" s="154" t="s">
        <v>1752</v>
      </c>
      <c r="B28" s="155" t="s">
        <v>359</v>
      </c>
      <c r="C28" s="156">
        <v>0</v>
      </c>
      <c r="D28" s="157">
        <f t="shared" si="2"/>
        <v>0</v>
      </c>
      <c r="E28" s="139" t="s">
        <v>679</v>
      </c>
    </row>
    <row r="29" spans="1:8" ht="11.1" customHeight="1" x14ac:dyDescent="0.25">
      <c r="A29" s="146" t="s">
        <v>1753</v>
      </c>
      <c r="B29" s="147" t="s">
        <v>782</v>
      </c>
      <c r="C29" s="148">
        <v>0</v>
      </c>
      <c r="D29" s="149">
        <f t="shared" si="2"/>
        <v>0</v>
      </c>
      <c r="E29" s="137" t="s">
        <v>677</v>
      </c>
    </row>
    <row r="30" spans="1:8" ht="11.1" customHeight="1" x14ac:dyDescent="0.25">
      <c r="A30" s="154" t="s">
        <v>1754</v>
      </c>
      <c r="B30" s="155" t="s">
        <v>783</v>
      </c>
      <c r="C30" s="156">
        <v>0</v>
      </c>
      <c r="D30" s="157">
        <f t="shared" si="2"/>
        <v>0</v>
      </c>
      <c r="E30" s="139" t="s">
        <v>679</v>
      </c>
    </row>
    <row r="31" spans="1:8" ht="11.1" customHeight="1" x14ac:dyDescent="0.25">
      <c r="A31" s="154" t="s">
        <v>1755</v>
      </c>
      <c r="B31" s="155" t="s">
        <v>784</v>
      </c>
      <c r="C31" s="156">
        <v>0</v>
      </c>
      <c r="D31" s="157">
        <f t="shared" si="2"/>
        <v>0</v>
      </c>
      <c r="E31" s="139" t="s">
        <v>679</v>
      </c>
    </row>
    <row r="32" spans="1:8" ht="11.1" customHeight="1" x14ac:dyDescent="0.25">
      <c r="A32" s="190" t="s">
        <v>1756</v>
      </c>
      <c r="B32" s="191" t="s">
        <v>367</v>
      </c>
      <c r="C32" s="188">
        <v>0</v>
      </c>
      <c r="D32" s="189">
        <f t="shared" si="2"/>
        <v>0</v>
      </c>
      <c r="E32" s="185" t="s">
        <v>680</v>
      </c>
    </row>
    <row r="33" spans="1:8" ht="11.1" customHeight="1" x14ac:dyDescent="0.25">
      <c r="A33" s="154" t="s">
        <v>1757</v>
      </c>
      <c r="B33" s="155" t="s">
        <v>369</v>
      </c>
      <c r="C33" s="156">
        <v>0</v>
      </c>
      <c r="D33" s="157">
        <f t="shared" si="2"/>
        <v>0</v>
      </c>
      <c r="E33" s="139" t="s">
        <v>679</v>
      </c>
    </row>
    <row r="34" spans="1:8" ht="11.1" customHeight="1" x14ac:dyDescent="0.25">
      <c r="A34" s="150" t="s">
        <v>1758</v>
      </c>
      <c r="B34" s="151" t="s">
        <v>371</v>
      </c>
      <c r="C34" s="152">
        <v>0</v>
      </c>
      <c r="D34" s="153">
        <f t="shared" si="2"/>
        <v>0</v>
      </c>
      <c r="E34" s="138" t="s">
        <v>678</v>
      </c>
    </row>
    <row r="35" spans="1:8" ht="11.1" customHeight="1" x14ac:dyDescent="0.25">
      <c r="A35" s="190" t="s">
        <v>1759</v>
      </c>
      <c r="B35" s="191" t="s">
        <v>375</v>
      </c>
      <c r="C35" s="188">
        <v>0</v>
      </c>
      <c r="D35" s="189">
        <f t="shared" si="2"/>
        <v>0</v>
      </c>
      <c r="E35" s="185" t="s">
        <v>680</v>
      </c>
    </row>
    <row r="36" spans="1:8" ht="11.1" customHeight="1" x14ac:dyDescent="0.25">
      <c r="A36" s="190" t="s">
        <v>1760</v>
      </c>
      <c r="B36" s="191" t="s">
        <v>379</v>
      </c>
      <c r="C36" s="188">
        <v>0</v>
      </c>
      <c r="D36" s="189">
        <f t="shared" si="2"/>
        <v>0</v>
      </c>
      <c r="E36" s="185" t="s">
        <v>680</v>
      </c>
    </row>
    <row r="37" spans="1:8" ht="11.1" customHeight="1" x14ac:dyDescent="0.25">
      <c r="A37" s="190" t="s">
        <v>1761</v>
      </c>
      <c r="B37" s="191" t="s">
        <v>381</v>
      </c>
      <c r="C37" s="188">
        <v>0</v>
      </c>
      <c r="D37" s="189">
        <f t="shared" si="2"/>
        <v>0</v>
      </c>
      <c r="E37" s="185" t="s">
        <v>680</v>
      </c>
    </row>
    <row r="38" spans="1:8" x14ac:dyDescent="0.25">
      <c r="A38" s="94" t="s">
        <v>39</v>
      </c>
      <c r="B38" s="95" t="s">
        <v>185</v>
      </c>
      <c r="C38" s="96">
        <f>C40</f>
        <v>0</v>
      </c>
      <c r="D38" s="97">
        <f t="shared" si="2"/>
        <v>0</v>
      </c>
      <c r="G38" s="137" t="s">
        <v>677</v>
      </c>
      <c r="H38" s="169">
        <f>C38</f>
        <v>0</v>
      </c>
    </row>
    <row r="39" spans="1:8" ht="11.1" customHeight="1" x14ac:dyDescent="0.25">
      <c r="A39" s="69" t="s">
        <v>41</v>
      </c>
      <c r="B39" s="75" t="str">
        <f>DG!D30</f>
        <v>Statia 110/20 kV Belcesti, jud. IS</v>
      </c>
      <c r="C39" s="89"/>
      <c r="D39" s="66"/>
    </row>
    <row r="40" spans="1:8" s="76" customFormat="1" ht="11.1" customHeight="1" x14ac:dyDescent="0.25">
      <c r="A40" s="69" t="s">
        <v>1762</v>
      </c>
      <c r="B40" s="82" t="s">
        <v>186</v>
      </c>
      <c r="C40" s="118">
        <v>0</v>
      </c>
      <c r="D40" s="66">
        <f>C40</f>
        <v>0</v>
      </c>
      <c r="E40" s="137" t="s">
        <v>677</v>
      </c>
    </row>
    <row r="41" spans="1:8" ht="11.1" customHeight="1" x14ac:dyDescent="0.25">
      <c r="A41" s="94" t="s">
        <v>187</v>
      </c>
      <c r="B41" s="98" t="s">
        <v>48</v>
      </c>
      <c r="C41" s="96">
        <v>0</v>
      </c>
      <c r="D41" s="71">
        <v>0</v>
      </c>
    </row>
    <row r="42" spans="1:8" x14ac:dyDescent="0.25">
      <c r="A42" s="103" t="s">
        <v>188</v>
      </c>
      <c r="B42" s="104" t="s">
        <v>189</v>
      </c>
      <c r="C42" s="105">
        <v>0</v>
      </c>
      <c r="D42" s="102">
        <v>0</v>
      </c>
    </row>
    <row r="43" spans="1:8" x14ac:dyDescent="0.25">
      <c r="A43" s="103" t="s">
        <v>190</v>
      </c>
      <c r="B43" s="104" t="s">
        <v>69</v>
      </c>
      <c r="C43" s="106">
        <f>SUM(C44:C49)</f>
        <v>0</v>
      </c>
      <c r="D43" s="106">
        <f>SUM(D44:D49)</f>
        <v>0</v>
      </c>
    </row>
    <row r="44" spans="1:8" ht="12" customHeight="1" x14ac:dyDescent="0.25">
      <c r="A44" s="74" t="s">
        <v>191</v>
      </c>
      <c r="B44" s="72" t="s">
        <v>192</v>
      </c>
      <c r="C44" s="73">
        <v>0</v>
      </c>
      <c r="D44" s="73">
        <v>0</v>
      </c>
    </row>
    <row r="45" spans="1:8" x14ac:dyDescent="0.25">
      <c r="A45" s="74" t="s">
        <v>193</v>
      </c>
      <c r="B45" s="72" t="s">
        <v>194</v>
      </c>
      <c r="C45" s="73">
        <v>0</v>
      </c>
      <c r="D45" s="73">
        <v>0</v>
      </c>
    </row>
    <row r="46" spans="1:8" ht="22.8" x14ac:dyDescent="0.25">
      <c r="A46" s="74" t="s">
        <v>195</v>
      </c>
      <c r="B46" s="83" t="s">
        <v>196</v>
      </c>
      <c r="C46" s="73">
        <v>0</v>
      </c>
      <c r="D46" s="73">
        <v>0</v>
      </c>
    </row>
    <row r="47" spans="1:8" ht="12" customHeight="1" x14ac:dyDescent="0.25">
      <c r="A47" s="74" t="s">
        <v>197</v>
      </c>
      <c r="B47" s="83" t="s">
        <v>198</v>
      </c>
      <c r="C47" s="73">
        <v>0</v>
      </c>
      <c r="D47" s="73">
        <v>0</v>
      </c>
    </row>
    <row r="48" spans="1:8" ht="12" customHeight="1" x14ac:dyDescent="0.25">
      <c r="A48" s="74" t="s">
        <v>199</v>
      </c>
      <c r="B48" s="83" t="s">
        <v>200</v>
      </c>
      <c r="C48" s="73">
        <v>0</v>
      </c>
      <c r="D48" s="73">
        <v>0</v>
      </c>
    </row>
    <row r="49" spans="1:8" x14ac:dyDescent="0.25">
      <c r="A49" s="74" t="s">
        <v>201</v>
      </c>
      <c r="B49" s="72" t="s">
        <v>202</v>
      </c>
      <c r="C49" s="73">
        <v>0</v>
      </c>
      <c r="D49" s="73">
        <v>0</v>
      </c>
    </row>
    <row r="50" spans="1:8" ht="10.199999999999999" customHeight="1" x14ac:dyDescent="0.25">
      <c r="A50" s="103" t="s">
        <v>203</v>
      </c>
      <c r="B50" s="104" t="s">
        <v>204</v>
      </c>
      <c r="C50" s="105">
        <f>C51+C92+C108</f>
        <v>0</v>
      </c>
      <c r="D50" s="105">
        <f>D51+D92+D108</f>
        <v>0</v>
      </c>
    </row>
    <row r="51" spans="1:8" x14ac:dyDescent="0.25">
      <c r="A51" s="94" t="s">
        <v>92</v>
      </c>
      <c r="B51" s="99" t="s">
        <v>157</v>
      </c>
      <c r="C51" s="68">
        <f>SUM(C53:C91)</f>
        <v>0</v>
      </c>
      <c r="D51" s="68">
        <f>SUM(D53:D91)</f>
        <v>0</v>
      </c>
    </row>
    <row r="52" spans="1:8" x14ac:dyDescent="0.25">
      <c r="A52" s="78" t="s">
        <v>94</v>
      </c>
      <c r="B52" s="79" t="str">
        <f>DG!D76</f>
        <v>Statia 110/20 kV Belcesti, jud. IS</v>
      </c>
      <c r="C52" s="80"/>
      <c r="D52" s="110"/>
    </row>
    <row r="53" spans="1:8" x14ac:dyDescent="0.25">
      <c r="A53" s="146" t="s">
        <v>210</v>
      </c>
      <c r="B53" s="147" t="s">
        <v>317</v>
      </c>
      <c r="C53" s="148">
        <v>0</v>
      </c>
      <c r="D53" s="149">
        <f t="shared" ref="D53:D91" si="3">C53</f>
        <v>0</v>
      </c>
      <c r="E53" s="137" t="s">
        <v>677</v>
      </c>
      <c r="G53" s="137" t="s">
        <v>677</v>
      </c>
      <c r="H53" s="133">
        <f>C53+C54+C55+C56+C57+C58+C65+C67+C68+C69</f>
        <v>0</v>
      </c>
    </row>
    <row r="54" spans="1:8" x14ac:dyDescent="0.25">
      <c r="A54" s="146" t="s">
        <v>211</v>
      </c>
      <c r="B54" s="147" t="s">
        <v>785</v>
      </c>
      <c r="C54" s="148">
        <v>0</v>
      </c>
      <c r="D54" s="149">
        <f t="shared" si="3"/>
        <v>0</v>
      </c>
      <c r="E54" s="137" t="s">
        <v>677</v>
      </c>
      <c r="G54" s="138" t="s">
        <v>678</v>
      </c>
      <c r="H54" s="133">
        <f>C66+C72+C73+C74+C78+C80</f>
        <v>0</v>
      </c>
    </row>
    <row r="55" spans="1:8" x14ac:dyDescent="0.25">
      <c r="A55" s="146" t="s">
        <v>212</v>
      </c>
      <c r="B55" s="147" t="s">
        <v>786</v>
      </c>
      <c r="C55" s="148">
        <v>0</v>
      </c>
      <c r="D55" s="149">
        <f t="shared" si="3"/>
        <v>0</v>
      </c>
      <c r="E55" s="137" t="s">
        <v>677</v>
      </c>
      <c r="G55" s="139" t="s">
        <v>679</v>
      </c>
      <c r="H55" s="133">
        <f>C59+C60+C61+C70+C71+C77+C79</f>
        <v>0</v>
      </c>
    </row>
    <row r="56" spans="1:8" x14ac:dyDescent="0.25">
      <c r="A56" s="146" t="s">
        <v>214</v>
      </c>
      <c r="B56" s="147" t="s">
        <v>787</v>
      </c>
      <c r="C56" s="148">
        <v>0</v>
      </c>
      <c r="D56" s="149">
        <f t="shared" si="3"/>
        <v>0</v>
      </c>
      <c r="E56" s="137" t="s">
        <v>677</v>
      </c>
      <c r="G56" s="185" t="s">
        <v>680</v>
      </c>
      <c r="H56" s="133">
        <f>C62+C63+C64+C75+C76+C81+C82+C83+C84+C85+C86+C87+C88+C89</f>
        <v>0</v>
      </c>
    </row>
    <row r="57" spans="1:8" x14ac:dyDescent="0.25">
      <c r="A57" s="146" t="s">
        <v>215</v>
      </c>
      <c r="B57" s="147" t="s">
        <v>213</v>
      </c>
      <c r="C57" s="148">
        <v>0</v>
      </c>
      <c r="D57" s="149">
        <f t="shared" si="3"/>
        <v>0</v>
      </c>
      <c r="E57" s="137" t="s">
        <v>677</v>
      </c>
      <c r="G57" s="141" t="s">
        <v>681</v>
      </c>
      <c r="H57" s="133">
        <f>C90+C91</f>
        <v>0</v>
      </c>
    </row>
    <row r="58" spans="1:8" x14ac:dyDescent="0.25">
      <c r="A58" s="146" t="s">
        <v>216</v>
      </c>
      <c r="B58" s="147" t="s">
        <v>788</v>
      </c>
      <c r="C58" s="148">
        <v>0</v>
      </c>
      <c r="D58" s="149">
        <f t="shared" si="3"/>
        <v>0</v>
      </c>
      <c r="E58" s="137" t="s">
        <v>677</v>
      </c>
      <c r="H58" s="76"/>
    </row>
    <row r="59" spans="1:8" x14ac:dyDescent="0.25">
      <c r="A59" s="154" t="s">
        <v>217</v>
      </c>
      <c r="B59" s="155" t="s">
        <v>398</v>
      </c>
      <c r="C59" s="156">
        <v>0</v>
      </c>
      <c r="D59" s="157">
        <f t="shared" si="3"/>
        <v>0</v>
      </c>
      <c r="E59" s="139" t="s">
        <v>679</v>
      </c>
      <c r="H59" s="169">
        <f>C51-H53-H54-H55-H56-H57</f>
        <v>0</v>
      </c>
    </row>
    <row r="60" spans="1:8" x14ac:dyDescent="0.25">
      <c r="A60" s="154" t="s">
        <v>219</v>
      </c>
      <c r="B60" s="155" t="s">
        <v>531</v>
      </c>
      <c r="C60" s="156">
        <v>0</v>
      </c>
      <c r="D60" s="157">
        <f t="shared" si="3"/>
        <v>0</v>
      </c>
      <c r="E60" s="139" t="s">
        <v>679</v>
      </c>
    </row>
    <row r="61" spans="1:8" x14ac:dyDescent="0.25">
      <c r="A61" s="154" t="s">
        <v>221</v>
      </c>
      <c r="B61" s="155" t="s">
        <v>319</v>
      </c>
      <c r="C61" s="156">
        <v>0</v>
      </c>
      <c r="D61" s="157">
        <f t="shared" si="3"/>
        <v>0</v>
      </c>
      <c r="E61" s="139" t="s">
        <v>679</v>
      </c>
    </row>
    <row r="62" spans="1:8" x14ac:dyDescent="0.25">
      <c r="A62" s="190" t="s">
        <v>222</v>
      </c>
      <c r="B62" s="191" t="s">
        <v>428</v>
      </c>
      <c r="C62" s="188">
        <v>0</v>
      </c>
      <c r="D62" s="189">
        <f t="shared" si="3"/>
        <v>0</v>
      </c>
      <c r="E62" s="185" t="s">
        <v>680</v>
      </c>
    </row>
    <row r="63" spans="1:8" x14ac:dyDescent="0.25">
      <c r="A63" s="190" t="s">
        <v>223</v>
      </c>
      <c r="B63" s="191" t="s">
        <v>789</v>
      </c>
      <c r="C63" s="188">
        <v>0</v>
      </c>
      <c r="D63" s="189">
        <f t="shared" si="3"/>
        <v>0</v>
      </c>
      <c r="E63" s="185" t="s">
        <v>680</v>
      </c>
    </row>
    <row r="64" spans="1:8" x14ac:dyDescent="0.25">
      <c r="A64" s="190" t="s">
        <v>224</v>
      </c>
      <c r="B64" s="191" t="s">
        <v>675</v>
      </c>
      <c r="C64" s="188">
        <v>0</v>
      </c>
      <c r="D64" s="189">
        <f t="shared" si="3"/>
        <v>0</v>
      </c>
      <c r="E64" s="185" t="s">
        <v>680</v>
      </c>
    </row>
    <row r="65" spans="1:5" x14ac:dyDescent="0.25">
      <c r="A65" s="146" t="s">
        <v>225</v>
      </c>
      <c r="B65" s="147" t="s">
        <v>790</v>
      </c>
      <c r="C65" s="148">
        <v>0</v>
      </c>
      <c r="D65" s="149">
        <f t="shared" si="3"/>
        <v>0</v>
      </c>
      <c r="E65" s="137" t="s">
        <v>677</v>
      </c>
    </row>
    <row r="66" spans="1:5" x14ac:dyDescent="0.25">
      <c r="A66" s="150" t="s">
        <v>226</v>
      </c>
      <c r="B66" s="151" t="s">
        <v>791</v>
      </c>
      <c r="C66" s="152">
        <v>0</v>
      </c>
      <c r="D66" s="153">
        <f t="shared" si="3"/>
        <v>0</v>
      </c>
      <c r="E66" s="138" t="s">
        <v>678</v>
      </c>
    </row>
    <row r="67" spans="1:5" x14ac:dyDescent="0.25">
      <c r="A67" s="146" t="s">
        <v>227</v>
      </c>
      <c r="B67" s="147" t="s">
        <v>792</v>
      </c>
      <c r="C67" s="148">
        <v>0</v>
      </c>
      <c r="D67" s="149">
        <f t="shared" si="3"/>
        <v>0</v>
      </c>
      <c r="E67" s="137" t="s">
        <v>677</v>
      </c>
    </row>
    <row r="68" spans="1:5" x14ac:dyDescent="0.25">
      <c r="A68" s="146" t="s">
        <v>229</v>
      </c>
      <c r="B68" s="147" t="s">
        <v>411</v>
      </c>
      <c r="C68" s="148">
        <v>0</v>
      </c>
      <c r="D68" s="149">
        <f t="shared" si="3"/>
        <v>0</v>
      </c>
      <c r="E68" s="137" t="s">
        <v>677</v>
      </c>
    </row>
    <row r="69" spans="1:5" x14ac:dyDescent="0.25">
      <c r="A69" s="146" t="s">
        <v>231</v>
      </c>
      <c r="B69" s="147" t="s">
        <v>793</v>
      </c>
      <c r="C69" s="148">
        <v>0</v>
      </c>
      <c r="D69" s="149">
        <f t="shared" si="3"/>
        <v>0</v>
      </c>
      <c r="E69" s="137" t="s">
        <v>677</v>
      </c>
    </row>
    <row r="70" spans="1:5" x14ac:dyDescent="0.25">
      <c r="A70" s="154" t="s">
        <v>233</v>
      </c>
      <c r="B70" s="155" t="s">
        <v>413</v>
      </c>
      <c r="C70" s="156">
        <v>0</v>
      </c>
      <c r="D70" s="157">
        <f t="shared" si="3"/>
        <v>0</v>
      </c>
      <c r="E70" s="139" t="s">
        <v>679</v>
      </c>
    </row>
    <row r="71" spans="1:5" x14ac:dyDescent="0.25">
      <c r="A71" s="154" t="s">
        <v>234</v>
      </c>
      <c r="B71" s="155" t="s">
        <v>415</v>
      </c>
      <c r="C71" s="156">
        <v>0</v>
      </c>
      <c r="D71" s="157">
        <f t="shared" si="3"/>
        <v>0</v>
      </c>
      <c r="E71" s="139" t="s">
        <v>679</v>
      </c>
    </row>
    <row r="72" spans="1:5" x14ac:dyDescent="0.25">
      <c r="A72" s="150" t="s">
        <v>235</v>
      </c>
      <c r="B72" s="151" t="s">
        <v>794</v>
      </c>
      <c r="C72" s="152">
        <v>0</v>
      </c>
      <c r="D72" s="153">
        <f t="shared" si="3"/>
        <v>0</v>
      </c>
      <c r="E72" s="138" t="s">
        <v>678</v>
      </c>
    </row>
    <row r="73" spans="1:5" ht="12" customHeight="1" x14ac:dyDescent="0.25">
      <c r="A73" s="150" t="s">
        <v>236</v>
      </c>
      <c r="B73" s="151" t="s">
        <v>439</v>
      </c>
      <c r="C73" s="152">
        <v>0</v>
      </c>
      <c r="D73" s="153">
        <f t="shared" si="3"/>
        <v>0</v>
      </c>
      <c r="E73" s="138" t="s">
        <v>678</v>
      </c>
    </row>
    <row r="74" spans="1:5" ht="12" customHeight="1" x14ac:dyDescent="0.25">
      <c r="A74" s="150" t="s">
        <v>237</v>
      </c>
      <c r="B74" s="151" t="s">
        <v>511</v>
      </c>
      <c r="C74" s="152">
        <v>0</v>
      </c>
      <c r="D74" s="153">
        <f t="shared" si="3"/>
        <v>0</v>
      </c>
      <c r="E74" s="138" t="s">
        <v>678</v>
      </c>
    </row>
    <row r="75" spans="1:5" x14ac:dyDescent="0.25">
      <c r="A75" s="190" t="s">
        <v>239</v>
      </c>
      <c r="B75" s="191" t="s">
        <v>320</v>
      </c>
      <c r="C75" s="188">
        <v>0</v>
      </c>
      <c r="D75" s="189">
        <f t="shared" si="3"/>
        <v>0</v>
      </c>
      <c r="E75" s="185" t="s">
        <v>680</v>
      </c>
    </row>
    <row r="76" spans="1:5" x14ac:dyDescent="0.25">
      <c r="A76" s="190" t="s">
        <v>240</v>
      </c>
      <c r="B76" s="191" t="s">
        <v>510</v>
      </c>
      <c r="C76" s="188">
        <v>0</v>
      </c>
      <c r="D76" s="189">
        <f t="shared" si="3"/>
        <v>0</v>
      </c>
      <c r="E76" s="185" t="s">
        <v>680</v>
      </c>
    </row>
    <row r="77" spans="1:5" x14ac:dyDescent="0.25">
      <c r="A77" s="154" t="s">
        <v>241</v>
      </c>
      <c r="B77" s="155" t="s">
        <v>795</v>
      </c>
      <c r="C77" s="156">
        <v>0</v>
      </c>
      <c r="D77" s="157">
        <f t="shared" si="3"/>
        <v>0</v>
      </c>
      <c r="E77" s="139" t="s">
        <v>679</v>
      </c>
    </row>
    <row r="78" spans="1:5" x14ac:dyDescent="0.25">
      <c r="A78" s="150" t="s">
        <v>242</v>
      </c>
      <c r="B78" s="151" t="s">
        <v>796</v>
      </c>
      <c r="C78" s="152">
        <v>0</v>
      </c>
      <c r="D78" s="153">
        <f t="shared" si="3"/>
        <v>0</v>
      </c>
      <c r="E78" s="138" t="s">
        <v>678</v>
      </c>
    </row>
    <row r="79" spans="1:5" x14ac:dyDescent="0.25">
      <c r="A79" s="154" t="s">
        <v>243</v>
      </c>
      <c r="B79" s="155" t="s">
        <v>797</v>
      </c>
      <c r="C79" s="156">
        <v>0</v>
      </c>
      <c r="D79" s="157">
        <f t="shared" si="3"/>
        <v>0</v>
      </c>
      <c r="E79" s="139" t="s">
        <v>679</v>
      </c>
    </row>
    <row r="80" spans="1:5" x14ac:dyDescent="0.25">
      <c r="A80" s="150" t="s">
        <v>245</v>
      </c>
      <c r="B80" s="151" t="s">
        <v>318</v>
      </c>
      <c r="C80" s="152">
        <v>0</v>
      </c>
      <c r="D80" s="153">
        <f t="shared" si="3"/>
        <v>0</v>
      </c>
      <c r="E80" s="138" t="s">
        <v>678</v>
      </c>
    </row>
    <row r="81" spans="1:8" x14ac:dyDescent="0.25">
      <c r="A81" s="190" t="s">
        <v>247</v>
      </c>
      <c r="B81" s="191" t="s">
        <v>798</v>
      </c>
      <c r="C81" s="188">
        <v>0</v>
      </c>
      <c r="D81" s="189">
        <f t="shared" si="3"/>
        <v>0</v>
      </c>
      <c r="E81" s="185" t="s">
        <v>680</v>
      </c>
    </row>
    <row r="82" spans="1:8" x14ac:dyDescent="0.25">
      <c r="A82" s="190" t="s">
        <v>249</v>
      </c>
      <c r="B82" s="191" t="s">
        <v>799</v>
      </c>
      <c r="C82" s="188">
        <v>0</v>
      </c>
      <c r="D82" s="189">
        <f t="shared" si="3"/>
        <v>0</v>
      </c>
      <c r="E82" s="185" t="s">
        <v>680</v>
      </c>
    </row>
    <row r="83" spans="1:8" x14ac:dyDescent="0.25">
      <c r="A83" s="190" t="s">
        <v>250</v>
      </c>
      <c r="B83" s="191" t="s">
        <v>800</v>
      </c>
      <c r="C83" s="188">
        <v>0</v>
      </c>
      <c r="D83" s="189">
        <f t="shared" ref="D83:D84" si="4">C83</f>
        <v>0</v>
      </c>
      <c r="E83" s="185" t="s">
        <v>680</v>
      </c>
    </row>
    <row r="84" spans="1:8" x14ac:dyDescent="0.25">
      <c r="A84" s="190" t="s">
        <v>251</v>
      </c>
      <c r="B84" s="191" t="s">
        <v>321</v>
      </c>
      <c r="C84" s="188">
        <v>0</v>
      </c>
      <c r="D84" s="189">
        <f t="shared" si="4"/>
        <v>0</v>
      </c>
      <c r="E84" s="185" t="s">
        <v>680</v>
      </c>
    </row>
    <row r="85" spans="1:8" x14ac:dyDescent="0.25">
      <c r="A85" s="190" t="s">
        <v>253</v>
      </c>
      <c r="B85" s="191" t="s">
        <v>801</v>
      </c>
      <c r="C85" s="188">
        <v>0</v>
      </c>
      <c r="D85" s="189">
        <f t="shared" si="3"/>
        <v>0</v>
      </c>
      <c r="E85" s="185" t="s">
        <v>680</v>
      </c>
    </row>
    <row r="86" spans="1:8" x14ac:dyDescent="0.25">
      <c r="A86" s="190" t="s">
        <v>255</v>
      </c>
      <c r="B86" s="191" t="s">
        <v>432</v>
      </c>
      <c r="C86" s="188">
        <v>0</v>
      </c>
      <c r="D86" s="189">
        <f t="shared" si="3"/>
        <v>0</v>
      </c>
      <c r="E86" s="185" t="s">
        <v>680</v>
      </c>
    </row>
    <row r="87" spans="1:8" x14ac:dyDescent="0.25">
      <c r="A87" s="190" t="s">
        <v>257</v>
      </c>
      <c r="B87" s="191" t="s">
        <v>433</v>
      </c>
      <c r="C87" s="188">
        <v>0</v>
      </c>
      <c r="D87" s="189">
        <f t="shared" si="3"/>
        <v>0</v>
      </c>
      <c r="E87" s="185" t="s">
        <v>680</v>
      </c>
    </row>
    <row r="88" spans="1:8" x14ac:dyDescent="0.25">
      <c r="A88" s="190" t="s">
        <v>259</v>
      </c>
      <c r="B88" s="191" t="s">
        <v>802</v>
      </c>
      <c r="C88" s="188">
        <v>0</v>
      </c>
      <c r="D88" s="189">
        <f t="shared" si="3"/>
        <v>0</v>
      </c>
      <c r="E88" s="185" t="s">
        <v>680</v>
      </c>
    </row>
    <row r="89" spans="1:8" x14ac:dyDescent="0.25">
      <c r="A89" s="190" t="s">
        <v>777</v>
      </c>
      <c r="B89" s="191" t="s">
        <v>435</v>
      </c>
      <c r="C89" s="188">
        <v>0</v>
      </c>
      <c r="D89" s="189">
        <f t="shared" si="3"/>
        <v>0</v>
      </c>
      <c r="E89" s="185" t="s">
        <v>680</v>
      </c>
      <c r="G89" s="67" t="s">
        <v>163</v>
      </c>
    </row>
    <row r="90" spans="1:8" x14ac:dyDescent="0.25">
      <c r="A90" s="142" t="s">
        <v>778</v>
      </c>
      <c r="B90" s="143" t="s">
        <v>803</v>
      </c>
      <c r="C90" s="144">
        <v>0</v>
      </c>
      <c r="D90" s="145">
        <f t="shared" si="3"/>
        <v>0</v>
      </c>
      <c r="E90" s="141" t="s">
        <v>681</v>
      </c>
      <c r="G90" s="67" t="s">
        <v>158</v>
      </c>
    </row>
    <row r="91" spans="1:8" x14ac:dyDescent="0.25">
      <c r="A91" s="142" t="s">
        <v>779</v>
      </c>
      <c r="B91" s="143" t="s">
        <v>260</v>
      </c>
      <c r="C91" s="144">
        <v>0</v>
      </c>
      <c r="D91" s="145">
        <f t="shared" si="3"/>
        <v>0</v>
      </c>
      <c r="E91" s="141" t="s">
        <v>681</v>
      </c>
      <c r="G91" s="67" t="s">
        <v>158</v>
      </c>
    </row>
    <row r="92" spans="1:8" x14ac:dyDescent="0.25">
      <c r="A92" s="94" t="s">
        <v>101</v>
      </c>
      <c r="B92" s="99" t="s">
        <v>261</v>
      </c>
      <c r="C92" s="68">
        <f>SUM(C94:C107)</f>
        <v>0</v>
      </c>
      <c r="D92" s="68">
        <f>SUM(D94:D107)</f>
        <v>0</v>
      </c>
    </row>
    <row r="93" spans="1:8" x14ac:dyDescent="0.25">
      <c r="A93" s="87" t="s">
        <v>103</v>
      </c>
      <c r="B93" s="85" t="str">
        <f>DG!D89</f>
        <v>Statia 110/20 kV Belcesti, jud. IS</v>
      </c>
      <c r="C93" s="89"/>
      <c r="D93" s="90"/>
    </row>
    <row r="94" spans="1:8" ht="12" customHeight="1" x14ac:dyDescent="0.25">
      <c r="A94" s="158" t="s">
        <v>262</v>
      </c>
      <c r="B94" s="147" t="s">
        <v>741</v>
      </c>
      <c r="C94" s="148">
        <v>0</v>
      </c>
      <c r="D94" s="149">
        <f>C94</f>
        <v>0</v>
      </c>
      <c r="E94" s="137" t="s">
        <v>677</v>
      </c>
      <c r="G94" s="137" t="s">
        <v>677</v>
      </c>
      <c r="H94" s="164">
        <f>C94</f>
        <v>0</v>
      </c>
    </row>
    <row r="95" spans="1:8" x14ac:dyDescent="0.25">
      <c r="A95" s="160" t="s">
        <v>263</v>
      </c>
      <c r="B95" s="155" t="s">
        <v>748</v>
      </c>
      <c r="C95" s="156">
        <v>0</v>
      </c>
      <c r="D95" s="157">
        <f t="shared" ref="D95:D107" si="5">C95</f>
        <v>0</v>
      </c>
      <c r="E95" s="139" t="s">
        <v>679</v>
      </c>
      <c r="G95" s="138" t="s">
        <v>678</v>
      </c>
      <c r="H95" s="133">
        <f>C96+C98+C102</f>
        <v>0</v>
      </c>
    </row>
    <row r="96" spans="1:8" x14ac:dyDescent="0.25">
      <c r="A96" s="162" t="s">
        <v>264</v>
      </c>
      <c r="B96" s="151" t="s">
        <v>749</v>
      </c>
      <c r="C96" s="152">
        <v>0</v>
      </c>
      <c r="D96" s="153">
        <f t="shared" si="5"/>
        <v>0</v>
      </c>
      <c r="E96" s="138" t="s">
        <v>678</v>
      </c>
      <c r="G96" s="139" t="s">
        <v>679</v>
      </c>
      <c r="H96" s="133">
        <f>C95+C97+C101+C103</f>
        <v>0</v>
      </c>
    </row>
    <row r="97" spans="1:8" ht="12" customHeight="1" x14ac:dyDescent="0.25">
      <c r="A97" s="160" t="s">
        <v>265</v>
      </c>
      <c r="B97" s="193" t="s">
        <v>750</v>
      </c>
      <c r="C97" s="156">
        <v>0</v>
      </c>
      <c r="D97" s="157">
        <f t="shared" si="5"/>
        <v>0</v>
      </c>
      <c r="E97" s="139" t="s">
        <v>679</v>
      </c>
      <c r="G97" s="140" t="s">
        <v>680</v>
      </c>
      <c r="H97" s="133">
        <f>C99+C100+C104+C105+C106+C107</f>
        <v>0</v>
      </c>
    </row>
    <row r="98" spans="1:8" ht="12" customHeight="1" x14ac:dyDescent="0.25">
      <c r="A98" s="162" t="s">
        <v>266</v>
      </c>
      <c r="B98" s="192" t="s">
        <v>751</v>
      </c>
      <c r="C98" s="152">
        <v>0</v>
      </c>
      <c r="D98" s="153">
        <f t="shared" si="5"/>
        <v>0</v>
      </c>
      <c r="E98" s="138" t="s">
        <v>678</v>
      </c>
    </row>
    <row r="99" spans="1:8" ht="12" customHeight="1" x14ac:dyDescent="0.25">
      <c r="A99" s="194" t="s">
        <v>267</v>
      </c>
      <c r="B99" s="191" t="s">
        <v>752</v>
      </c>
      <c r="C99" s="188">
        <v>0</v>
      </c>
      <c r="D99" s="189">
        <f t="shared" si="5"/>
        <v>0</v>
      </c>
      <c r="E99" s="140" t="s">
        <v>680</v>
      </c>
      <c r="H99" s="169">
        <f>C92-H94-H95-H96-H97</f>
        <v>0</v>
      </c>
    </row>
    <row r="100" spans="1:8" ht="12" customHeight="1" x14ac:dyDescent="0.25">
      <c r="A100" s="194" t="s">
        <v>268</v>
      </c>
      <c r="B100" s="191" t="s">
        <v>753</v>
      </c>
      <c r="C100" s="188">
        <v>0</v>
      </c>
      <c r="D100" s="189">
        <f t="shared" si="5"/>
        <v>0</v>
      </c>
      <c r="E100" s="140" t="s">
        <v>680</v>
      </c>
    </row>
    <row r="101" spans="1:8" ht="12" customHeight="1" x14ac:dyDescent="0.25">
      <c r="A101" s="160" t="s">
        <v>269</v>
      </c>
      <c r="B101" s="193" t="s">
        <v>754</v>
      </c>
      <c r="C101" s="156">
        <v>0</v>
      </c>
      <c r="D101" s="157">
        <f t="shared" si="5"/>
        <v>0</v>
      </c>
      <c r="E101" s="139" t="s">
        <v>679</v>
      </c>
    </row>
    <row r="102" spans="1:8" ht="12" customHeight="1" x14ac:dyDescent="0.25">
      <c r="A102" s="162" t="s">
        <v>742</v>
      </c>
      <c r="B102" s="192" t="s">
        <v>755</v>
      </c>
      <c r="C102" s="152">
        <v>0</v>
      </c>
      <c r="D102" s="153">
        <f t="shared" si="5"/>
        <v>0</v>
      </c>
      <c r="E102" s="138" t="s">
        <v>678</v>
      </c>
    </row>
    <row r="103" spans="1:8" x14ac:dyDescent="0.25">
      <c r="A103" s="160" t="s">
        <v>743</v>
      </c>
      <c r="B103" s="193" t="s">
        <v>756</v>
      </c>
      <c r="C103" s="156">
        <v>0</v>
      </c>
      <c r="D103" s="157">
        <f t="shared" si="5"/>
        <v>0</v>
      </c>
      <c r="E103" s="139" t="s">
        <v>679</v>
      </c>
    </row>
    <row r="104" spans="1:8" x14ac:dyDescent="0.25">
      <c r="A104" s="194" t="s">
        <v>744</v>
      </c>
      <c r="B104" s="195" t="s">
        <v>757</v>
      </c>
      <c r="C104" s="188">
        <v>0</v>
      </c>
      <c r="D104" s="189">
        <f t="shared" si="5"/>
        <v>0</v>
      </c>
      <c r="E104" s="140" t="s">
        <v>680</v>
      </c>
    </row>
    <row r="105" spans="1:8" x14ac:dyDescent="0.25">
      <c r="A105" s="194" t="s">
        <v>745</v>
      </c>
      <c r="B105" s="195" t="s">
        <v>758</v>
      </c>
      <c r="C105" s="188">
        <v>0</v>
      </c>
      <c r="D105" s="189">
        <f t="shared" si="5"/>
        <v>0</v>
      </c>
      <c r="E105" s="140" t="s">
        <v>680</v>
      </c>
    </row>
    <row r="106" spans="1:8" x14ac:dyDescent="0.25">
      <c r="A106" s="194" t="s">
        <v>746</v>
      </c>
      <c r="B106" s="195" t="s">
        <v>759</v>
      </c>
      <c r="C106" s="188">
        <v>0</v>
      </c>
      <c r="D106" s="189">
        <f t="shared" si="5"/>
        <v>0</v>
      </c>
      <c r="E106" s="140" t="s">
        <v>680</v>
      </c>
    </row>
    <row r="107" spans="1:8" x14ac:dyDescent="0.25">
      <c r="A107" s="194" t="s">
        <v>747</v>
      </c>
      <c r="B107" s="195" t="s">
        <v>760</v>
      </c>
      <c r="C107" s="188">
        <v>0</v>
      </c>
      <c r="D107" s="189">
        <f t="shared" si="5"/>
        <v>0</v>
      </c>
      <c r="E107" s="140" t="s">
        <v>680</v>
      </c>
    </row>
    <row r="108" spans="1:8" x14ac:dyDescent="0.25">
      <c r="A108" s="94" t="s">
        <v>110</v>
      </c>
      <c r="B108" s="99" t="s">
        <v>270</v>
      </c>
      <c r="C108" s="68">
        <f>SUM(C110:C123)</f>
        <v>0</v>
      </c>
      <c r="D108" s="68">
        <f>SUM(D110:D123)</f>
        <v>0</v>
      </c>
    </row>
    <row r="109" spans="1:8" x14ac:dyDescent="0.25">
      <c r="A109" s="88" t="s">
        <v>112</v>
      </c>
      <c r="B109" s="86" t="str">
        <f>DG!D102</f>
        <v>Statia 110/20 kV Belcesti, jud. IS</v>
      </c>
      <c r="C109" s="89"/>
      <c r="D109" s="90"/>
    </row>
    <row r="110" spans="1:8" ht="12" customHeight="1" x14ac:dyDescent="0.25">
      <c r="A110" s="158" t="s">
        <v>271</v>
      </c>
      <c r="B110" s="196" t="s">
        <v>272</v>
      </c>
      <c r="C110" s="148">
        <v>0</v>
      </c>
      <c r="D110" s="159">
        <v>0</v>
      </c>
      <c r="E110" s="137" t="s">
        <v>677</v>
      </c>
      <c r="G110" s="137" t="s">
        <v>677</v>
      </c>
      <c r="H110" s="164">
        <f>C110</f>
        <v>0</v>
      </c>
    </row>
    <row r="111" spans="1:8" ht="12" customHeight="1" x14ac:dyDescent="0.25">
      <c r="A111" s="160" t="s">
        <v>273</v>
      </c>
      <c r="B111" s="193" t="s">
        <v>761</v>
      </c>
      <c r="C111" s="156">
        <v>0</v>
      </c>
      <c r="D111" s="161">
        <v>0</v>
      </c>
      <c r="E111" s="139" t="s">
        <v>679</v>
      </c>
      <c r="G111" s="138" t="s">
        <v>678</v>
      </c>
      <c r="H111" s="133">
        <f>C112+C114+C118</f>
        <v>0</v>
      </c>
    </row>
    <row r="112" spans="1:8" ht="12" customHeight="1" x14ac:dyDescent="0.25">
      <c r="A112" s="162" t="s">
        <v>274</v>
      </c>
      <c r="B112" s="192" t="s">
        <v>766</v>
      </c>
      <c r="C112" s="152">
        <v>0</v>
      </c>
      <c r="D112" s="163">
        <v>0</v>
      </c>
      <c r="E112" s="138" t="s">
        <v>678</v>
      </c>
      <c r="G112" s="139" t="s">
        <v>679</v>
      </c>
      <c r="H112" s="133">
        <f>C111+C113+C117+C119</f>
        <v>0</v>
      </c>
    </row>
    <row r="113" spans="1:8" ht="12" customHeight="1" x14ac:dyDescent="0.25">
      <c r="A113" s="160" t="s">
        <v>275</v>
      </c>
      <c r="B113" s="193" t="s">
        <v>767</v>
      </c>
      <c r="C113" s="156">
        <v>0</v>
      </c>
      <c r="D113" s="161">
        <v>0</v>
      </c>
      <c r="E113" s="139" t="s">
        <v>679</v>
      </c>
      <c r="G113" s="140" t="s">
        <v>680</v>
      </c>
      <c r="H113" s="133">
        <f>C115+C116+C120+C121+C122+C123</f>
        <v>0</v>
      </c>
    </row>
    <row r="114" spans="1:8" ht="12" customHeight="1" x14ac:dyDescent="0.25">
      <c r="A114" s="162" t="s">
        <v>276</v>
      </c>
      <c r="B114" s="192" t="s">
        <v>768</v>
      </c>
      <c r="C114" s="152">
        <v>0</v>
      </c>
      <c r="D114" s="163">
        <v>0</v>
      </c>
      <c r="E114" s="138" t="s">
        <v>678</v>
      </c>
    </row>
    <row r="115" spans="1:8" ht="12" customHeight="1" x14ac:dyDescent="0.25">
      <c r="A115" s="194" t="s">
        <v>277</v>
      </c>
      <c r="B115" s="195" t="s">
        <v>330</v>
      </c>
      <c r="C115" s="188">
        <v>0</v>
      </c>
      <c r="D115" s="197">
        <v>0</v>
      </c>
      <c r="E115" s="140" t="s">
        <v>680</v>
      </c>
      <c r="H115" s="169">
        <f>C108-H110-H111-H112-H113</f>
        <v>0</v>
      </c>
    </row>
    <row r="116" spans="1:8" ht="12" customHeight="1" x14ac:dyDescent="0.25">
      <c r="A116" s="194" t="s">
        <v>278</v>
      </c>
      <c r="B116" s="195" t="s">
        <v>769</v>
      </c>
      <c r="C116" s="188">
        <v>0</v>
      </c>
      <c r="D116" s="197">
        <v>0</v>
      </c>
      <c r="E116" s="140" t="s">
        <v>680</v>
      </c>
    </row>
    <row r="117" spans="1:8" ht="12" customHeight="1" x14ac:dyDescent="0.25">
      <c r="A117" s="160" t="s">
        <v>279</v>
      </c>
      <c r="B117" s="193" t="s">
        <v>770</v>
      </c>
      <c r="C117" s="156">
        <v>0</v>
      </c>
      <c r="D117" s="161">
        <v>0</v>
      </c>
      <c r="E117" s="139" t="s">
        <v>679</v>
      </c>
    </row>
    <row r="118" spans="1:8" x14ac:dyDescent="0.25">
      <c r="A118" s="162" t="s">
        <v>280</v>
      </c>
      <c r="B118" s="192" t="s">
        <v>771</v>
      </c>
      <c r="C118" s="152">
        <v>0</v>
      </c>
      <c r="D118" s="163">
        <v>0</v>
      </c>
      <c r="E118" s="138" t="s">
        <v>678</v>
      </c>
    </row>
    <row r="119" spans="1:8" x14ac:dyDescent="0.25">
      <c r="A119" s="160" t="s">
        <v>281</v>
      </c>
      <c r="B119" s="193" t="s">
        <v>772</v>
      </c>
      <c r="C119" s="156">
        <v>0</v>
      </c>
      <c r="D119" s="161">
        <v>0</v>
      </c>
      <c r="E119" s="139" t="s">
        <v>679</v>
      </c>
    </row>
    <row r="120" spans="1:8" x14ac:dyDescent="0.25">
      <c r="A120" s="194" t="s">
        <v>762</v>
      </c>
      <c r="B120" s="195" t="s">
        <v>773</v>
      </c>
      <c r="C120" s="188">
        <v>0</v>
      </c>
      <c r="D120" s="197">
        <v>0</v>
      </c>
      <c r="E120" s="140" t="s">
        <v>680</v>
      </c>
    </row>
    <row r="121" spans="1:8" x14ac:dyDescent="0.25">
      <c r="A121" s="194" t="s">
        <v>763</v>
      </c>
      <c r="B121" s="195" t="s">
        <v>774</v>
      </c>
      <c r="C121" s="188">
        <v>0</v>
      </c>
      <c r="D121" s="197">
        <v>0</v>
      </c>
      <c r="E121" s="140" t="s">
        <v>680</v>
      </c>
    </row>
    <row r="122" spans="1:8" x14ac:dyDescent="0.25">
      <c r="A122" s="194" t="s">
        <v>764</v>
      </c>
      <c r="B122" s="195" t="s">
        <v>775</v>
      </c>
      <c r="C122" s="188">
        <v>0</v>
      </c>
      <c r="D122" s="197">
        <v>0</v>
      </c>
      <c r="E122" s="140" t="s">
        <v>680</v>
      </c>
    </row>
    <row r="123" spans="1:8" x14ac:dyDescent="0.25">
      <c r="A123" s="194" t="s">
        <v>765</v>
      </c>
      <c r="B123" s="195" t="s">
        <v>776</v>
      </c>
      <c r="C123" s="188">
        <v>0</v>
      </c>
      <c r="D123" s="197">
        <v>0</v>
      </c>
      <c r="E123" s="140" t="s">
        <v>680</v>
      </c>
    </row>
    <row r="124" spans="1:8" ht="12" customHeight="1" x14ac:dyDescent="0.25">
      <c r="A124" s="74" t="s">
        <v>119</v>
      </c>
      <c r="B124" s="83" t="s">
        <v>282</v>
      </c>
      <c r="C124" s="73">
        <v>0</v>
      </c>
      <c r="D124" s="73">
        <v>0</v>
      </c>
    </row>
    <row r="125" spans="1:8" x14ac:dyDescent="0.25">
      <c r="A125" s="74" t="s">
        <v>121</v>
      </c>
      <c r="B125" s="72" t="s">
        <v>283</v>
      </c>
      <c r="C125" s="73">
        <v>0</v>
      </c>
      <c r="D125" s="73">
        <v>0</v>
      </c>
    </row>
    <row r="126" spans="1:8" x14ac:dyDescent="0.25">
      <c r="A126" s="74" t="s">
        <v>123</v>
      </c>
      <c r="B126" s="72" t="s">
        <v>284</v>
      </c>
      <c r="C126" s="73">
        <v>0</v>
      </c>
      <c r="D126" s="73">
        <v>0</v>
      </c>
    </row>
    <row r="127" spans="1:8" x14ac:dyDescent="0.25">
      <c r="A127" s="74" t="s">
        <v>127</v>
      </c>
      <c r="B127" s="72" t="s">
        <v>285</v>
      </c>
      <c r="C127" s="73">
        <v>0</v>
      </c>
      <c r="D127" s="73">
        <v>0</v>
      </c>
    </row>
    <row r="128" spans="1:8" x14ac:dyDescent="0.25">
      <c r="A128" s="74" t="s">
        <v>286</v>
      </c>
      <c r="B128" s="77" t="s">
        <v>287</v>
      </c>
      <c r="C128" s="73">
        <v>0</v>
      </c>
      <c r="D128" s="73">
        <v>0</v>
      </c>
    </row>
    <row r="129" spans="1:4" x14ac:dyDescent="0.25">
      <c r="A129" s="74" t="s">
        <v>288</v>
      </c>
      <c r="B129" s="72" t="s">
        <v>289</v>
      </c>
      <c r="C129" s="73">
        <v>0</v>
      </c>
      <c r="D129" s="73">
        <v>0</v>
      </c>
    </row>
    <row r="130" spans="1:4" x14ac:dyDescent="0.25">
      <c r="A130" s="74" t="s">
        <v>150</v>
      </c>
      <c r="B130" s="72" t="s">
        <v>290</v>
      </c>
      <c r="C130" s="73">
        <v>0</v>
      </c>
      <c r="D130" s="73">
        <v>0</v>
      </c>
    </row>
    <row r="131" spans="1:4" x14ac:dyDescent="0.25">
      <c r="A131" s="274" t="s">
        <v>291</v>
      </c>
      <c r="B131" s="274"/>
      <c r="C131" s="73">
        <f>C13+C42+C43+C50</f>
        <v>0</v>
      </c>
      <c r="D131" s="73">
        <f>D13+D42+D43+D50</f>
        <v>0</v>
      </c>
    </row>
    <row r="132" spans="1:4" x14ac:dyDescent="0.25">
      <c r="A132" s="274" t="s">
        <v>292</v>
      </c>
      <c r="B132" s="274"/>
      <c r="C132" s="73">
        <f>C131*19%</f>
        <v>0</v>
      </c>
      <c r="D132" s="73">
        <f>D131*19%</f>
        <v>0</v>
      </c>
    </row>
    <row r="133" spans="1:4" x14ac:dyDescent="0.25">
      <c r="A133" s="274" t="s">
        <v>293</v>
      </c>
      <c r="B133" s="274"/>
      <c r="C133" s="73">
        <f>C131+C132</f>
        <v>0</v>
      </c>
      <c r="D133" s="73">
        <f>D131+D132</f>
        <v>0</v>
      </c>
    </row>
  </sheetData>
  <mergeCells count="12">
    <mergeCell ref="C9:D9"/>
    <mergeCell ref="B6:D6"/>
    <mergeCell ref="A1:B1"/>
    <mergeCell ref="A2:B2"/>
    <mergeCell ref="A3:D3"/>
    <mergeCell ref="A4:D4"/>
    <mergeCell ref="A131:B131"/>
    <mergeCell ref="A132:B132"/>
    <mergeCell ref="A133:B133"/>
    <mergeCell ref="A9:B9"/>
    <mergeCell ref="B10:B11"/>
    <mergeCell ref="A10:A11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A5E4-1B8F-4828-B3FD-99FC90542D34}">
  <dimension ref="A1:H92"/>
  <sheetViews>
    <sheetView zoomScale="160" zoomScaleNormal="160" zoomScaleSheetLayoutView="100" workbookViewId="0">
      <selection activeCell="C84" sqref="C84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1.19921875" style="67" customWidth="1"/>
    <col min="6" max="6" width="8.69921875" style="67"/>
    <col min="7" max="7" width="12.09765625" style="67" customWidth="1"/>
    <col min="8" max="8" width="9.19921875" style="67" bestFit="1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8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8" ht="11.1" customHeight="1" x14ac:dyDescent="0.25">
      <c r="A2" s="281" t="s">
        <v>170</v>
      </c>
      <c r="B2" s="281"/>
    </row>
    <row r="3" spans="1:8" ht="11.1" customHeight="1" x14ac:dyDescent="0.25">
      <c r="A3" s="282"/>
      <c r="B3" s="282"/>
      <c r="C3" s="282"/>
      <c r="D3" s="282"/>
    </row>
    <row r="4" spans="1:8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8" s="130" customFormat="1" x14ac:dyDescent="0.25">
      <c r="A5" s="131"/>
      <c r="B5" s="131"/>
      <c r="C5" s="131"/>
      <c r="D5" s="131"/>
    </row>
    <row r="6" spans="1:8" ht="11.1" customHeight="1" x14ac:dyDescent="0.25">
      <c r="B6" s="280" t="s">
        <v>171</v>
      </c>
      <c r="C6" s="280"/>
      <c r="D6" s="280"/>
    </row>
    <row r="7" spans="1:8" ht="11.1" customHeight="1" x14ac:dyDescent="0.25">
      <c r="B7" s="129"/>
      <c r="C7" s="129"/>
      <c r="D7" s="129"/>
    </row>
    <row r="8" spans="1:8" ht="11.1" customHeight="1" x14ac:dyDescent="0.25">
      <c r="B8" s="129" t="str">
        <f>DG!D77</f>
        <v>Statia 20 kV Tabara, jud. IS</v>
      </c>
      <c r="C8" s="129"/>
      <c r="D8" s="129"/>
    </row>
    <row r="9" spans="1:8" ht="14.25" customHeight="1" x14ac:dyDescent="0.25">
      <c r="A9" s="275"/>
      <c r="B9" s="275"/>
      <c r="C9" s="206" t="str">
        <f>DG!H7</f>
        <v>Scenariul 1</v>
      </c>
      <c r="D9" s="206"/>
    </row>
    <row r="10" spans="1:8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8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8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8" ht="11.1" customHeight="1" x14ac:dyDescent="0.25">
      <c r="A13" s="100">
        <v>1</v>
      </c>
      <c r="B13" s="101" t="s">
        <v>176</v>
      </c>
      <c r="C13" s="102">
        <f>C14+C15+C27+C30</f>
        <v>0</v>
      </c>
      <c r="D13" s="102">
        <f>D14+D15+D27+D30</f>
        <v>0</v>
      </c>
    </row>
    <row r="14" spans="1:8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8" ht="11.1" customHeight="1" x14ac:dyDescent="0.25">
      <c r="A15" s="93" t="s">
        <v>23</v>
      </c>
      <c r="B15" s="92" t="s">
        <v>24</v>
      </c>
      <c r="C15" s="68">
        <f>SUM(C17:C26)</f>
        <v>0</v>
      </c>
      <c r="D15" s="68">
        <f>SUM(D17:D26)</f>
        <v>0</v>
      </c>
    </row>
    <row r="16" spans="1:8" x14ac:dyDescent="0.25">
      <c r="A16" s="109" t="s">
        <v>27</v>
      </c>
      <c r="B16" s="70" t="str">
        <f>DG!D18</f>
        <v>Statia 20 kV Tabara, jud. IS</v>
      </c>
      <c r="C16" s="66"/>
      <c r="D16" s="66"/>
      <c r="G16" s="137" t="s">
        <v>677</v>
      </c>
      <c r="H16" s="133">
        <f>C20</f>
        <v>0</v>
      </c>
    </row>
    <row r="17" spans="1:8" x14ac:dyDescent="0.25">
      <c r="A17" s="175" t="s">
        <v>294</v>
      </c>
      <c r="B17" s="171" t="s">
        <v>807</v>
      </c>
      <c r="C17" s="201">
        <v>0</v>
      </c>
      <c r="D17" s="157">
        <f>C17</f>
        <v>0</v>
      </c>
      <c r="E17" s="139" t="s">
        <v>679</v>
      </c>
      <c r="G17" s="138" t="s">
        <v>678</v>
      </c>
      <c r="H17" s="133">
        <f>C23</f>
        <v>0</v>
      </c>
    </row>
    <row r="18" spans="1:8" x14ac:dyDescent="0.25">
      <c r="A18" s="198" t="s">
        <v>295</v>
      </c>
      <c r="B18" s="199" t="s">
        <v>351</v>
      </c>
      <c r="C18" s="202">
        <v>0</v>
      </c>
      <c r="D18" s="189">
        <f t="shared" ref="D18" si="0">C18</f>
        <v>0</v>
      </c>
      <c r="E18" s="140" t="s">
        <v>680</v>
      </c>
      <c r="G18" s="139" t="s">
        <v>679</v>
      </c>
      <c r="H18" s="133">
        <f>C17+C19+C22</f>
        <v>0</v>
      </c>
    </row>
    <row r="19" spans="1:8" x14ac:dyDescent="0.25">
      <c r="A19" s="154" t="s">
        <v>1764</v>
      </c>
      <c r="B19" s="171" t="s">
        <v>810</v>
      </c>
      <c r="C19" s="156">
        <v>0</v>
      </c>
      <c r="D19" s="157">
        <f t="shared" ref="D19:D27" si="1">C19</f>
        <v>0</v>
      </c>
      <c r="E19" s="139" t="s">
        <v>679</v>
      </c>
      <c r="G19" s="140" t="s">
        <v>680</v>
      </c>
      <c r="H19" s="133">
        <f>C18+C21+SUM(C24:C26)</f>
        <v>0</v>
      </c>
    </row>
    <row r="20" spans="1:8" x14ac:dyDescent="0.25">
      <c r="A20" s="146" t="s">
        <v>1765</v>
      </c>
      <c r="B20" s="172" t="s">
        <v>782</v>
      </c>
      <c r="C20" s="148">
        <v>0</v>
      </c>
      <c r="D20" s="149">
        <f t="shared" si="1"/>
        <v>0</v>
      </c>
      <c r="E20" s="137" t="s">
        <v>677</v>
      </c>
      <c r="H20" s="133"/>
    </row>
    <row r="21" spans="1:8" x14ac:dyDescent="0.25">
      <c r="A21" s="190" t="s">
        <v>1766</v>
      </c>
      <c r="B21" s="199" t="s">
        <v>367</v>
      </c>
      <c r="C21" s="188">
        <v>0</v>
      </c>
      <c r="D21" s="189">
        <f t="shared" si="1"/>
        <v>0</v>
      </c>
      <c r="E21" s="140" t="s">
        <v>680</v>
      </c>
      <c r="H21" s="169">
        <f>C15-H16-H17-H18-H19</f>
        <v>0</v>
      </c>
    </row>
    <row r="22" spans="1:8" x14ac:dyDescent="0.25">
      <c r="A22" s="154" t="s">
        <v>1767</v>
      </c>
      <c r="B22" s="171" t="s">
        <v>369</v>
      </c>
      <c r="C22" s="156">
        <v>0</v>
      </c>
      <c r="D22" s="157">
        <f t="shared" si="1"/>
        <v>0</v>
      </c>
      <c r="E22" s="139" t="s">
        <v>679</v>
      </c>
      <c r="H22" s="133"/>
    </row>
    <row r="23" spans="1:8" x14ac:dyDescent="0.25">
      <c r="A23" s="150" t="s">
        <v>1768</v>
      </c>
      <c r="B23" s="173" t="s">
        <v>371</v>
      </c>
      <c r="C23" s="152">
        <v>0</v>
      </c>
      <c r="D23" s="153">
        <f t="shared" si="1"/>
        <v>0</v>
      </c>
      <c r="E23" s="138" t="s">
        <v>678</v>
      </c>
      <c r="H23" s="133"/>
    </row>
    <row r="24" spans="1:8" x14ac:dyDescent="0.25">
      <c r="A24" s="190" t="s">
        <v>1769</v>
      </c>
      <c r="B24" s="199" t="s">
        <v>375</v>
      </c>
      <c r="C24" s="188">
        <v>0</v>
      </c>
      <c r="D24" s="189">
        <f t="shared" si="1"/>
        <v>0</v>
      </c>
      <c r="E24" s="140" t="s">
        <v>680</v>
      </c>
      <c r="H24" s="133"/>
    </row>
    <row r="25" spans="1:8" x14ac:dyDescent="0.25">
      <c r="A25" s="190" t="s">
        <v>1770</v>
      </c>
      <c r="B25" s="199" t="s">
        <v>379</v>
      </c>
      <c r="C25" s="188">
        <v>0</v>
      </c>
      <c r="D25" s="189">
        <f t="shared" si="1"/>
        <v>0</v>
      </c>
      <c r="E25" s="140" t="s">
        <v>680</v>
      </c>
      <c r="H25" s="133"/>
    </row>
    <row r="26" spans="1:8" x14ac:dyDescent="0.25">
      <c r="A26" s="190" t="s">
        <v>1771</v>
      </c>
      <c r="B26" s="199" t="s">
        <v>381</v>
      </c>
      <c r="C26" s="188">
        <v>0</v>
      </c>
      <c r="D26" s="189">
        <f t="shared" si="1"/>
        <v>0</v>
      </c>
      <c r="E26" s="140" t="s">
        <v>680</v>
      </c>
      <c r="H26" s="133"/>
    </row>
    <row r="27" spans="1:8" x14ac:dyDescent="0.25">
      <c r="A27" s="94" t="s">
        <v>39</v>
      </c>
      <c r="B27" s="95" t="s">
        <v>185</v>
      </c>
      <c r="C27" s="96">
        <f>C29</f>
        <v>0</v>
      </c>
      <c r="D27" s="97">
        <f t="shared" si="1"/>
        <v>0</v>
      </c>
    </row>
    <row r="28" spans="1:8" ht="11.1" customHeight="1" x14ac:dyDescent="0.25">
      <c r="A28" s="109" t="s">
        <v>42</v>
      </c>
      <c r="B28" s="75" t="str">
        <f>DG!D31</f>
        <v>Statia 20 kV Tabara, jud. IS</v>
      </c>
      <c r="C28" s="89"/>
      <c r="D28" s="66"/>
    </row>
    <row r="29" spans="1:8" s="76" customFormat="1" ht="11.1" customHeight="1" x14ac:dyDescent="0.25">
      <c r="A29" s="69" t="s">
        <v>871</v>
      </c>
      <c r="B29" s="82" t="s">
        <v>186</v>
      </c>
      <c r="C29" s="200">
        <v>0</v>
      </c>
      <c r="D29" s="66">
        <f>C29</f>
        <v>0</v>
      </c>
    </row>
    <row r="30" spans="1:8" ht="11.1" customHeight="1" x14ac:dyDescent="0.25">
      <c r="A30" s="94" t="s">
        <v>187</v>
      </c>
      <c r="B30" s="98" t="s">
        <v>48</v>
      </c>
      <c r="C30" s="96">
        <v>0</v>
      </c>
      <c r="D30" s="71">
        <v>0</v>
      </c>
    </row>
    <row r="31" spans="1:8" x14ac:dyDescent="0.25">
      <c r="A31" s="103" t="s">
        <v>188</v>
      </c>
      <c r="B31" s="104" t="s">
        <v>189</v>
      </c>
      <c r="C31" s="105">
        <v>0</v>
      </c>
      <c r="D31" s="102">
        <v>0</v>
      </c>
    </row>
    <row r="32" spans="1:8" x14ac:dyDescent="0.25">
      <c r="A32" s="103" t="s">
        <v>190</v>
      </c>
      <c r="B32" s="104" t="s">
        <v>69</v>
      </c>
      <c r="C32" s="106">
        <f>SUM(C33:C38)</f>
        <v>0</v>
      </c>
      <c r="D32" s="106">
        <f>SUM(D33:D38)</f>
        <v>0</v>
      </c>
    </row>
    <row r="33" spans="1:8" ht="12" customHeight="1" x14ac:dyDescent="0.25">
      <c r="A33" s="74" t="s">
        <v>191</v>
      </c>
      <c r="B33" s="72" t="s">
        <v>192</v>
      </c>
      <c r="C33" s="73">
        <v>0</v>
      </c>
      <c r="D33" s="73">
        <v>0</v>
      </c>
    </row>
    <row r="34" spans="1:8" x14ac:dyDescent="0.25">
      <c r="A34" s="74" t="s">
        <v>193</v>
      </c>
      <c r="B34" s="72" t="s">
        <v>194</v>
      </c>
      <c r="C34" s="73">
        <v>0</v>
      </c>
      <c r="D34" s="73">
        <v>0</v>
      </c>
    </row>
    <row r="35" spans="1:8" ht="22.8" x14ac:dyDescent="0.25">
      <c r="A35" s="74" t="s">
        <v>195</v>
      </c>
      <c r="B35" s="83" t="s">
        <v>196</v>
      </c>
      <c r="C35" s="73">
        <v>0</v>
      </c>
      <c r="D35" s="73">
        <v>0</v>
      </c>
    </row>
    <row r="36" spans="1:8" ht="12" customHeight="1" x14ac:dyDescent="0.25">
      <c r="A36" s="74" t="s">
        <v>197</v>
      </c>
      <c r="B36" s="83" t="s">
        <v>198</v>
      </c>
      <c r="C36" s="73">
        <v>0</v>
      </c>
      <c r="D36" s="73">
        <v>0</v>
      </c>
    </row>
    <row r="37" spans="1:8" ht="12" customHeight="1" x14ac:dyDescent="0.25">
      <c r="A37" s="74" t="s">
        <v>199</v>
      </c>
      <c r="B37" s="83" t="s">
        <v>200</v>
      </c>
      <c r="C37" s="73">
        <v>0</v>
      </c>
      <c r="D37" s="73">
        <v>0</v>
      </c>
    </row>
    <row r="38" spans="1:8" x14ac:dyDescent="0.25">
      <c r="A38" s="74" t="s">
        <v>201</v>
      </c>
      <c r="B38" s="72" t="s">
        <v>202</v>
      </c>
      <c r="C38" s="73">
        <v>0</v>
      </c>
      <c r="D38" s="73">
        <v>0</v>
      </c>
    </row>
    <row r="39" spans="1:8" ht="10.199999999999999" customHeight="1" x14ac:dyDescent="0.25">
      <c r="A39" s="103" t="s">
        <v>203</v>
      </c>
      <c r="B39" s="104" t="s">
        <v>204</v>
      </c>
      <c r="C39" s="105">
        <f>C40+C63+C73</f>
        <v>0</v>
      </c>
      <c r="D39" s="105">
        <f>D40+D63+D73</f>
        <v>0</v>
      </c>
    </row>
    <row r="40" spans="1:8" x14ac:dyDescent="0.25">
      <c r="A40" s="94" t="s">
        <v>92</v>
      </c>
      <c r="B40" s="99" t="s">
        <v>157</v>
      </c>
      <c r="C40" s="68">
        <f>SUM(C42:C62)</f>
        <v>0</v>
      </c>
      <c r="D40" s="68">
        <f>SUM(D42:D62)</f>
        <v>0</v>
      </c>
    </row>
    <row r="41" spans="1:8" x14ac:dyDescent="0.25">
      <c r="A41" s="87" t="s">
        <v>95</v>
      </c>
      <c r="B41" s="79" t="str">
        <f>DG!D77</f>
        <v>Statia 20 kV Tabara, jud. IS</v>
      </c>
      <c r="C41" s="80"/>
      <c r="D41" s="110"/>
    </row>
    <row r="42" spans="1:8" x14ac:dyDescent="0.25">
      <c r="A42" s="146" t="s">
        <v>808</v>
      </c>
      <c r="B42" s="172" t="s">
        <v>811</v>
      </c>
      <c r="C42" s="148">
        <v>0</v>
      </c>
      <c r="D42" s="149">
        <f t="shared" ref="D42:D62" si="2">C42</f>
        <v>0</v>
      </c>
      <c r="E42" s="137" t="s">
        <v>677</v>
      </c>
      <c r="G42" s="137" t="s">
        <v>677</v>
      </c>
      <c r="H42" s="133">
        <f>C42+C43</f>
        <v>0</v>
      </c>
    </row>
    <row r="43" spans="1:8" x14ac:dyDescent="0.25">
      <c r="A43" s="146" t="s">
        <v>809</v>
      </c>
      <c r="B43" s="172" t="s">
        <v>812</v>
      </c>
      <c r="C43" s="148">
        <v>0</v>
      </c>
      <c r="D43" s="149">
        <f t="shared" si="2"/>
        <v>0</v>
      </c>
      <c r="E43" s="137" t="s">
        <v>677</v>
      </c>
      <c r="G43" s="138" t="s">
        <v>678</v>
      </c>
      <c r="H43" s="133">
        <f>C47+C48+C49</f>
        <v>0</v>
      </c>
    </row>
    <row r="44" spans="1:8" x14ac:dyDescent="0.25">
      <c r="A44" s="154" t="s">
        <v>296</v>
      </c>
      <c r="B44" s="171" t="s">
        <v>813</v>
      </c>
      <c r="C44" s="156">
        <v>0</v>
      </c>
      <c r="D44" s="157">
        <f t="shared" si="2"/>
        <v>0</v>
      </c>
      <c r="E44" s="139" t="s">
        <v>679</v>
      </c>
      <c r="G44" s="139" t="s">
        <v>679</v>
      </c>
      <c r="H44" s="133">
        <f>C44+C46+C52</f>
        <v>0</v>
      </c>
    </row>
    <row r="45" spans="1:8" x14ac:dyDescent="0.25">
      <c r="A45" s="190" t="s">
        <v>297</v>
      </c>
      <c r="B45" s="199" t="s">
        <v>428</v>
      </c>
      <c r="C45" s="188">
        <v>0</v>
      </c>
      <c r="D45" s="189">
        <f t="shared" si="2"/>
        <v>0</v>
      </c>
      <c r="E45" s="140" t="s">
        <v>680</v>
      </c>
      <c r="G45" s="140" t="s">
        <v>680</v>
      </c>
      <c r="H45" s="133">
        <f>C45+C50+C51+C53+C54+C55+C56+C57+C58+C59+C60+C61+C62</f>
        <v>0</v>
      </c>
    </row>
    <row r="46" spans="1:8" x14ac:dyDescent="0.25">
      <c r="A46" s="154" t="s">
        <v>298</v>
      </c>
      <c r="B46" s="171" t="s">
        <v>415</v>
      </c>
      <c r="C46" s="156">
        <v>0</v>
      </c>
      <c r="D46" s="157">
        <f t="shared" si="2"/>
        <v>0</v>
      </c>
      <c r="E46" s="139" t="s">
        <v>679</v>
      </c>
      <c r="G46" s="141" t="s">
        <v>681</v>
      </c>
      <c r="H46" s="133">
        <f>0</f>
        <v>0</v>
      </c>
    </row>
    <row r="47" spans="1:8" x14ac:dyDescent="0.25">
      <c r="A47" s="150" t="s">
        <v>299</v>
      </c>
      <c r="B47" s="173" t="s">
        <v>794</v>
      </c>
      <c r="C47" s="152">
        <v>0</v>
      </c>
      <c r="D47" s="153">
        <f t="shared" si="2"/>
        <v>0</v>
      </c>
      <c r="E47" s="138" t="s">
        <v>678</v>
      </c>
    </row>
    <row r="48" spans="1:8" x14ac:dyDescent="0.25">
      <c r="A48" s="150" t="s">
        <v>300</v>
      </c>
      <c r="B48" s="173" t="s">
        <v>439</v>
      </c>
      <c r="C48" s="152">
        <v>0</v>
      </c>
      <c r="D48" s="153">
        <f t="shared" si="2"/>
        <v>0</v>
      </c>
      <c r="E48" s="138" t="s">
        <v>678</v>
      </c>
      <c r="H48" s="169">
        <f>C40-H42-H43-H44-H45-H46</f>
        <v>0</v>
      </c>
    </row>
    <row r="49" spans="1:5" x14ac:dyDescent="0.25">
      <c r="A49" s="150" t="s">
        <v>301</v>
      </c>
      <c r="B49" s="173" t="s">
        <v>511</v>
      </c>
      <c r="C49" s="152">
        <v>0</v>
      </c>
      <c r="D49" s="153">
        <f t="shared" si="2"/>
        <v>0</v>
      </c>
      <c r="E49" s="138" t="s">
        <v>678</v>
      </c>
    </row>
    <row r="50" spans="1:5" x14ac:dyDescent="0.25">
      <c r="A50" s="190" t="s">
        <v>302</v>
      </c>
      <c r="B50" s="199" t="s">
        <v>320</v>
      </c>
      <c r="C50" s="188">
        <v>0</v>
      </c>
      <c r="D50" s="189">
        <f t="shared" si="2"/>
        <v>0</v>
      </c>
      <c r="E50" s="140" t="s">
        <v>680</v>
      </c>
    </row>
    <row r="51" spans="1:5" x14ac:dyDescent="0.25">
      <c r="A51" s="190" t="s">
        <v>303</v>
      </c>
      <c r="B51" s="199" t="s">
        <v>510</v>
      </c>
      <c r="C51" s="188">
        <v>0</v>
      </c>
      <c r="D51" s="189">
        <f t="shared" si="2"/>
        <v>0</v>
      </c>
      <c r="E51" s="140" t="s">
        <v>680</v>
      </c>
    </row>
    <row r="52" spans="1:5" x14ac:dyDescent="0.25">
      <c r="A52" s="154" t="s">
        <v>304</v>
      </c>
      <c r="B52" s="171" t="s">
        <v>814</v>
      </c>
      <c r="C52" s="156">
        <v>0</v>
      </c>
      <c r="D52" s="157">
        <f t="shared" si="2"/>
        <v>0</v>
      </c>
      <c r="E52" s="139" t="s">
        <v>679</v>
      </c>
    </row>
    <row r="53" spans="1:5" x14ac:dyDescent="0.25">
      <c r="A53" s="190" t="s">
        <v>305</v>
      </c>
      <c r="B53" s="199" t="s">
        <v>798</v>
      </c>
      <c r="C53" s="188">
        <v>0</v>
      </c>
      <c r="D53" s="189">
        <f t="shared" si="2"/>
        <v>0</v>
      </c>
      <c r="E53" s="140" t="s">
        <v>680</v>
      </c>
    </row>
    <row r="54" spans="1:5" x14ac:dyDescent="0.25">
      <c r="A54" s="190" t="s">
        <v>306</v>
      </c>
      <c r="B54" s="199" t="s">
        <v>799</v>
      </c>
      <c r="C54" s="188">
        <v>0</v>
      </c>
      <c r="D54" s="189">
        <f t="shared" si="2"/>
        <v>0</v>
      </c>
      <c r="E54" s="140" t="s">
        <v>680</v>
      </c>
    </row>
    <row r="55" spans="1:5" x14ac:dyDescent="0.25">
      <c r="A55" s="190" t="s">
        <v>307</v>
      </c>
      <c r="B55" s="199" t="s">
        <v>815</v>
      </c>
      <c r="C55" s="188">
        <v>0</v>
      </c>
      <c r="D55" s="189">
        <f t="shared" si="2"/>
        <v>0</v>
      </c>
      <c r="E55" s="140" t="s">
        <v>680</v>
      </c>
    </row>
    <row r="56" spans="1:5" x14ac:dyDescent="0.25">
      <c r="A56" s="190" t="s">
        <v>308</v>
      </c>
      <c r="B56" s="199" t="s">
        <v>816</v>
      </c>
      <c r="C56" s="188">
        <v>0</v>
      </c>
      <c r="D56" s="189">
        <f t="shared" si="2"/>
        <v>0</v>
      </c>
      <c r="E56" s="140" t="s">
        <v>680</v>
      </c>
    </row>
    <row r="57" spans="1:5" x14ac:dyDescent="0.25">
      <c r="A57" s="190" t="s">
        <v>309</v>
      </c>
      <c r="B57" s="199" t="s">
        <v>675</v>
      </c>
      <c r="C57" s="188">
        <v>0</v>
      </c>
      <c r="D57" s="189">
        <f t="shared" si="2"/>
        <v>0</v>
      </c>
      <c r="E57" s="140" t="s">
        <v>680</v>
      </c>
    </row>
    <row r="58" spans="1:5" x14ac:dyDescent="0.25">
      <c r="A58" s="190" t="s">
        <v>310</v>
      </c>
      <c r="B58" s="199" t="s">
        <v>801</v>
      </c>
      <c r="C58" s="188">
        <v>0</v>
      </c>
      <c r="D58" s="189">
        <f t="shared" si="2"/>
        <v>0</v>
      </c>
      <c r="E58" s="140" t="s">
        <v>680</v>
      </c>
    </row>
    <row r="59" spans="1:5" x14ac:dyDescent="0.25">
      <c r="A59" s="190" t="s">
        <v>311</v>
      </c>
      <c r="B59" s="199" t="s">
        <v>432</v>
      </c>
      <c r="C59" s="188">
        <v>0</v>
      </c>
      <c r="D59" s="189">
        <f t="shared" si="2"/>
        <v>0</v>
      </c>
      <c r="E59" s="140" t="s">
        <v>680</v>
      </c>
    </row>
    <row r="60" spans="1:5" x14ac:dyDescent="0.25">
      <c r="A60" s="190" t="s">
        <v>312</v>
      </c>
      <c r="B60" s="199" t="s">
        <v>433</v>
      </c>
      <c r="C60" s="188">
        <v>0</v>
      </c>
      <c r="D60" s="189">
        <f t="shared" si="2"/>
        <v>0</v>
      </c>
      <c r="E60" s="140" t="s">
        <v>680</v>
      </c>
    </row>
    <row r="61" spans="1:5" x14ac:dyDescent="0.25">
      <c r="A61" s="190" t="s">
        <v>313</v>
      </c>
      <c r="B61" s="199" t="s">
        <v>817</v>
      </c>
      <c r="C61" s="188">
        <v>0</v>
      </c>
      <c r="D61" s="189">
        <f t="shared" si="2"/>
        <v>0</v>
      </c>
      <c r="E61" s="140" t="s">
        <v>680</v>
      </c>
    </row>
    <row r="62" spans="1:5" x14ac:dyDescent="0.25">
      <c r="A62" s="190" t="s">
        <v>315</v>
      </c>
      <c r="B62" s="199" t="s">
        <v>435</v>
      </c>
      <c r="C62" s="188">
        <v>0</v>
      </c>
      <c r="D62" s="189">
        <f t="shared" si="2"/>
        <v>0</v>
      </c>
      <c r="E62" s="140" t="s">
        <v>680</v>
      </c>
    </row>
    <row r="63" spans="1:5" x14ac:dyDescent="0.25">
      <c r="A63" s="94" t="s">
        <v>101</v>
      </c>
      <c r="B63" s="99" t="s">
        <v>261</v>
      </c>
      <c r="C63" s="68">
        <f>SUM(C65:C72)</f>
        <v>0</v>
      </c>
      <c r="D63" s="68">
        <f>SUM(D65:D72)</f>
        <v>0</v>
      </c>
    </row>
    <row r="64" spans="1:5" x14ac:dyDescent="0.25">
      <c r="A64" s="87" t="s">
        <v>104</v>
      </c>
      <c r="B64" s="108" t="str">
        <f>DG!D90</f>
        <v>Statia 20 kV Tabara, jud. IS</v>
      </c>
      <c r="C64" s="89"/>
      <c r="D64" s="110"/>
    </row>
    <row r="65" spans="1:8" x14ac:dyDescent="0.25">
      <c r="A65" s="160" t="s">
        <v>818</v>
      </c>
      <c r="B65" s="171" t="s">
        <v>819</v>
      </c>
      <c r="C65" s="156">
        <v>0</v>
      </c>
      <c r="D65" s="157">
        <f t="shared" ref="D65:D72" si="3">C65</f>
        <v>0</v>
      </c>
      <c r="E65" s="139" t="s">
        <v>679</v>
      </c>
      <c r="F65" s="133"/>
      <c r="G65" s="137" t="s">
        <v>677</v>
      </c>
      <c r="H65" s="164">
        <f>0</f>
        <v>0</v>
      </c>
    </row>
    <row r="66" spans="1:8" x14ac:dyDescent="0.25">
      <c r="A66" s="162" t="s">
        <v>827</v>
      </c>
      <c r="B66" s="173" t="s">
        <v>820</v>
      </c>
      <c r="C66" s="152">
        <v>0</v>
      </c>
      <c r="D66" s="153">
        <f t="shared" si="3"/>
        <v>0</v>
      </c>
      <c r="E66" s="138" t="s">
        <v>678</v>
      </c>
      <c r="F66" s="133"/>
      <c r="G66" s="138" t="s">
        <v>678</v>
      </c>
      <c r="H66" s="133">
        <f>C66</f>
        <v>0</v>
      </c>
    </row>
    <row r="67" spans="1:8" x14ac:dyDescent="0.25">
      <c r="A67" s="194" t="s">
        <v>828</v>
      </c>
      <c r="B67" s="199" t="s">
        <v>821</v>
      </c>
      <c r="C67" s="188">
        <v>0</v>
      </c>
      <c r="D67" s="189">
        <f t="shared" si="3"/>
        <v>0</v>
      </c>
      <c r="E67" s="140" t="s">
        <v>680</v>
      </c>
      <c r="F67" s="133"/>
      <c r="G67" s="139" t="s">
        <v>679</v>
      </c>
      <c r="H67" s="133">
        <f>C65+C69</f>
        <v>0</v>
      </c>
    </row>
    <row r="68" spans="1:8" x14ac:dyDescent="0.25">
      <c r="A68" s="194" t="s">
        <v>829</v>
      </c>
      <c r="B68" s="199" t="s">
        <v>822</v>
      </c>
      <c r="C68" s="188">
        <v>0</v>
      </c>
      <c r="D68" s="189">
        <f t="shared" si="3"/>
        <v>0</v>
      </c>
      <c r="E68" s="140" t="s">
        <v>680</v>
      </c>
      <c r="F68" s="133"/>
      <c r="G68" s="140" t="s">
        <v>680</v>
      </c>
      <c r="H68" s="133">
        <f>C67+C68+C70+C71+C72</f>
        <v>0</v>
      </c>
    </row>
    <row r="69" spans="1:8" ht="12.6" customHeight="1" x14ac:dyDescent="0.25">
      <c r="A69" s="160" t="s">
        <v>830</v>
      </c>
      <c r="B69" s="171" t="s">
        <v>823</v>
      </c>
      <c r="C69" s="156">
        <v>0</v>
      </c>
      <c r="D69" s="157">
        <f t="shared" si="3"/>
        <v>0</v>
      </c>
      <c r="E69" s="139" t="s">
        <v>679</v>
      </c>
      <c r="F69" s="133"/>
    </row>
    <row r="70" spans="1:8" ht="12" customHeight="1" x14ac:dyDescent="0.25">
      <c r="A70" s="194" t="s">
        <v>831</v>
      </c>
      <c r="B70" s="199" t="s">
        <v>824</v>
      </c>
      <c r="C70" s="188">
        <v>0</v>
      </c>
      <c r="D70" s="189">
        <f t="shared" si="3"/>
        <v>0</v>
      </c>
      <c r="E70" s="140" t="s">
        <v>680</v>
      </c>
      <c r="F70" s="133"/>
      <c r="H70" s="169">
        <f>C63-H65-H66-H67-H68</f>
        <v>0</v>
      </c>
    </row>
    <row r="71" spans="1:8" x14ac:dyDescent="0.25">
      <c r="A71" s="194" t="s">
        <v>832</v>
      </c>
      <c r="B71" s="199" t="s">
        <v>825</v>
      </c>
      <c r="C71" s="188">
        <v>0</v>
      </c>
      <c r="D71" s="189">
        <f t="shared" si="3"/>
        <v>0</v>
      </c>
      <c r="E71" s="140" t="s">
        <v>680</v>
      </c>
      <c r="F71" s="133"/>
    </row>
    <row r="72" spans="1:8" x14ac:dyDescent="0.25">
      <c r="A72" s="194" t="s">
        <v>833</v>
      </c>
      <c r="B72" s="199" t="s">
        <v>826</v>
      </c>
      <c r="C72" s="188">
        <v>0</v>
      </c>
      <c r="D72" s="189">
        <f t="shared" si="3"/>
        <v>0</v>
      </c>
      <c r="E72" s="140" t="s">
        <v>680</v>
      </c>
      <c r="F72" s="133"/>
    </row>
    <row r="73" spans="1:8" x14ac:dyDescent="0.25">
      <c r="A73" s="94" t="s">
        <v>110</v>
      </c>
      <c r="B73" s="99" t="s">
        <v>270</v>
      </c>
      <c r="C73" s="68">
        <v>0</v>
      </c>
      <c r="D73" s="68">
        <f>SUM(D75:D82)</f>
        <v>0</v>
      </c>
      <c r="F73" s="133"/>
    </row>
    <row r="74" spans="1:8" x14ac:dyDescent="0.25">
      <c r="A74" s="88" t="s">
        <v>113</v>
      </c>
      <c r="B74" s="122" t="str">
        <f>DG!D103</f>
        <v>Statia 20 kV Tabara, jud. IS</v>
      </c>
      <c r="C74" s="89"/>
      <c r="D74" s="110"/>
    </row>
    <row r="75" spans="1:8" x14ac:dyDescent="0.25">
      <c r="A75" s="160" t="s">
        <v>324</v>
      </c>
      <c r="B75" s="171" t="s">
        <v>834</v>
      </c>
      <c r="C75" s="156">
        <v>0</v>
      </c>
      <c r="D75" s="161">
        <v>0</v>
      </c>
      <c r="E75" s="139" t="s">
        <v>679</v>
      </c>
      <c r="G75" s="137" t="s">
        <v>677</v>
      </c>
      <c r="H75" s="164">
        <f>0</f>
        <v>0</v>
      </c>
    </row>
    <row r="76" spans="1:8" ht="12" customHeight="1" x14ac:dyDescent="0.25">
      <c r="A76" s="162" t="s">
        <v>325</v>
      </c>
      <c r="B76" s="173" t="s">
        <v>835</v>
      </c>
      <c r="C76" s="152">
        <v>0</v>
      </c>
      <c r="D76" s="163">
        <v>0</v>
      </c>
      <c r="E76" s="138" t="s">
        <v>678</v>
      </c>
      <c r="G76" s="138" t="s">
        <v>678</v>
      </c>
      <c r="H76" s="164">
        <f>C76</f>
        <v>0</v>
      </c>
    </row>
    <row r="77" spans="1:8" ht="12" customHeight="1" x14ac:dyDescent="0.25">
      <c r="A77" s="194" t="s">
        <v>326</v>
      </c>
      <c r="B77" s="199" t="s">
        <v>836</v>
      </c>
      <c r="C77" s="188">
        <v>0</v>
      </c>
      <c r="D77" s="197">
        <v>0</v>
      </c>
      <c r="E77" s="140" t="s">
        <v>680</v>
      </c>
      <c r="G77" s="139" t="s">
        <v>679</v>
      </c>
      <c r="H77" s="133">
        <f>C75+C79</f>
        <v>0</v>
      </c>
    </row>
    <row r="78" spans="1:8" x14ac:dyDescent="0.25">
      <c r="A78" s="194" t="s">
        <v>327</v>
      </c>
      <c r="B78" s="199" t="s">
        <v>837</v>
      </c>
      <c r="C78" s="188">
        <v>0</v>
      </c>
      <c r="D78" s="197">
        <v>0</v>
      </c>
      <c r="E78" s="140" t="s">
        <v>680</v>
      </c>
      <c r="G78" s="140" t="s">
        <v>680</v>
      </c>
      <c r="H78" s="133">
        <f>C77+C78+C80+C81+C82</f>
        <v>0</v>
      </c>
    </row>
    <row r="79" spans="1:8" x14ac:dyDescent="0.25">
      <c r="A79" s="160" t="s">
        <v>328</v>
      </c>
      <c r="B79" s="171" t="s">
        <v>838</v>
      </c>
      <c r="C79" s="156">
        <v>0</v>
      </c>
      <c r="D79" s="161">
        <v>0</v>
      </c>
      <c r="E79" s="139" t="s">
        <v>679</v>
      </c>
    </row>
    <row r="80" spans="1:8" x14ac:dyDescent="0.25">
      <c r="A80" s="194" t="s">
        <v>329</v>
      </c>
      <c r="B80" s="199" t="s">
        <v>839</v>
      </c>
      <c r="C80" s="188">
        <v>0</v>
      </c>
      <c r="D80" s="197">
        <v>0</v>
      </c>
      <c r="E80" s="140" t="s">
        <v>680</v>
      </c>
      <c r="H80" s="169">
        <f>C73-H75-H76-H77-H78</f>
        <v>0</v>
      </c>
    </row>
    <row r="81" spans="1:5" x14ac:dyDescent="0.25">
      <c r="A81" s="194" t="s">
        <v>331</v>
      </c>
      <c r="B81" s="199" t="s">
        <v>840</v>
      </c>
      <c r="C81" s="188">
        <v>0</v>
      </c>
      <c r="D81" s="197">
        <v>0</v>
      </c>
      <c r="E81" s="140" t="s">
        <v>680</v>
      </c>
    </row>
    <row r="82" spans="1:5" x14ac:dyDescent="0.25">
      <c r="A82" s="194" t="s">
        <v>332</v>
      </c>
      <c r="B82" s="199" t="s">
        <v>841</v>
      </c>
      <c r="C82" s="188">
        <v>0</v>
      </c>
      <c r="D82" s="197">
        <v>0</v>
      </c>
      <c r="E82" s="140" t="s">
        <v>680</v>
      </c>
    </row>
    <row r="83" spans="1:5" ht="12" customHeight="1" x14ac:dyDescent="0.25">
      <c r="A83" s="74" t="s">
        <v>119</v>
      </c>
      <c r="B83" s="83" t="s">
        <v>282</v>
      </c>
      <c r="C83" s="73">
        <v>0</v>
      </c>
      <c r="D83" s="73">
        <v>0</v>
      </c>
    </row>
    <row r="84" spans="1:5" x14ac:dyDescent="0.25">
      <c r="A84" s="74" t="s">
        <v>121</v>
      </c>
      <c r="B84" s="72" t="s">
        <v>283</v>
      </c>
      <c r="C84" s="73">
        <v>0</v>
      </c>
      <c r="D84" s="73">
        <v>0</v>
      </c>
    </row>
    <row r="85" spans="1:5" x14ac:dyDescent="0.25">
      <c r="A85" s="74" t="s">
        <v>123</v>
      </c>
      <c r="B85" s="72" t="s">
        <v>284</v>
      </c>
      <c r="C85" s="73">
        <v>0</v>
      </c>
      <c r="D85" s="73">
        <v>0</v>
      </c>
    </row>
    <row r="86" spans="1:5" x14ac:dyDescent="0.25">
      <c r="A86" s="74" t="s">
        <v>127</v>
      </c>
      <c r="B86" s="72" t="s">
        <v>285</v>
      </c>
      <c r="C86" s="73">
        <v>0</v>
      </c>
      <c r="D86" s="73">
        <v>0</v>
      </c>
    </row>
    <row r="87" spans="1:5" x14ac:dyDescent="0.25">
      <c r="A87" s="74" t="s">
        <v>286</v>
      </c>
      <c r="B87" s="77" t="s">
        <v>287</v>
      </c>
      <c r="C87" s="73">
        <v>0</v>
      </c>
      <c r="D87" s="73">
        <v>0</v>
      </c>
    </row>
    <row r="88" spans="1:5" x14ac:dyDescent="0.25">
      <c r="A88" s="74" t="s">
        <v>288</v>
      </c>
      <c r="B88" s="72" t="s">
        <v>289</v>
      </c>
      <c r="C88" s="73">
        <v>0</v>
      </c>
      <c r="D88" s="73">
        <v>0</v>
      </c>
    </row>
    <row r="89" spans="1:5" x14ac:dyDescent="0.25">
      <c r="A89" s="74" t="s">
        <v>150</v>
      </c>
      <c r="B89" s="72" t="s">
        <v>290</v>
      </c>
      <c r="C89" s="73">
        <v>0</v>
      </c>
      <c r="D89" s="73">
        <v>0</v>
      </c>
    </row>
    <row r="90" spans="1:5" x14ac:dyDescent="0.25">
      <c r="A90" s="274" t="s">
        <v>291</v>
      </c>
      <c r="B90" s="274"/>
      <c r="C90" s="73">
        <f>C13+C31+C32+C39</f>
        <v>0</v>
      </c>
      <c r="D90" s="73">
        <f>D13+D31+D32+D39</f>
        <v>0</v>
      </c>
    </row>
    <row r="91" spans="1:5" x14ac:dyDescent="0.25">
      <c r="A91" s="274" t="s">
        <v>292</v>
      </c>
      <c r="B91" s="274"/>
      <c r="C91" s="73">
        <f>C90*19%</f>
        <v>0</v>
      </c>
      <c r="D91" s="73">
        <f>D90*19%</f>
        <v>0</v>
      </c>
    </row>
    <row r="92" spans="1:5" x14ac:dyDescent="0.25">
      <c r="A92" s="274" t="s">
        <v>293</v>
      </c>
      <c r="B92" s="274"/>
      <c r="C92" s="73">
        <f>C90+C91</f>
        <v>0</v>
      </c>
      <c r="D92" s="73">
        <f>D90+D91</f>
        <v>0</v>
      </c>
    </row>
  </sheetData>
  <mergeCells count="12">
    <mergeCell ref="A9:B9"/>
    <mergeCell ref="A1:B1"/>
    <mergeCell ref="A2:B2"/>
    <mergeCell ref="A3:D3"/>
    <mergeCell ref="A4:D4"/>
    <mergeCell ref="B6:D6"/>
    <mergeCell ref="C9:D9"/>
    <mergeCell ref="A10:A11"/>
    <mergeCell ref="B10:B11"/>
    <mergeCell ref="A90:B90"/>
    <mergeCell ref="A91:B91"/>
    <mergeCell ref="A92:B92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  <ignoredErrors>
    <ignoredError sqref="D73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AF9F4-7B53-4637-9414-FC923E0F9DF2}">
  <dimension ref="A1:H131"/>
  <sheetViews>
    <sheetView zoomScale="150" zoomScaleNormal="150" zoomScaleSheetLayoutView="100" workbookViewId="0">
      <selection activeCell="C122" sqref="C122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0.5" style="67" customWidth="1"/>
    <col min="6" max="6" width="8.69921875" style="67"/>
    <col min="7" max="7" width="11.59765625" style="67" customWidth="1"/>
    <col min="8" max="8" width="11.199218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DG!D78</f>
        <v>Statia 110/20 kV Trifesti, jud. IS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C14+C15+C36+C39</f>
        <v>0</v>
      </c>
      <c r="D13" s="102">
        <f>D14+D15+D36+D39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SUM(C17:C35)</f>
        <v>0</v>
      </c>
      <c r="D15" s="68">
        <f>SUM(D17:D35)</f>
        <v>0</v>
      </c>
    </row>
    <row r="16" spans="1:5" x14ac:dyDescent="0.25">
      <c r="A16" s="109" t="s">
        <v>29</v>
      </c>
      <c r="B16" s="70" t="str">
        <f>DG!D19</f>
        <v>Statia 110/20 kV Trifesti, jud. IS</v>
      </c>
      <c r="C16" s="66"/>
      <c r="D16" s="66"/>
    </row>
    <row r="17" spans="1:8" x14ac:dyDescent="0.25">
      <c r="A17" s="174" t="s">
        <v>333</v>
      </c>
      <c r="B17" s="147" t="s">
        <v>842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C17+C18+C20+C21+C23+C29</f>
        <v>0</v>
      </c>
    </row>
    <row r="18" spans="1:8" ht="11.1" customHeight="1" x14ac:dyDescent="0.25">
      <c r="A18" s="174" t="s">
        <v>335</v>
      </c>
      <c r="B18" s="147" t="s">
        <v>843</v>
      </c>
      <c r="C18" s="148">
        <v>0</v>
      </c>
      <c r="D18" s="149">
        <f t="shared" ref="D18:D21" si="0">C18</f>
        <v>0</v>
      </c>
      <c r="E18" s="137" t="s">
        <v>677</v>
      </c>
      <c r="G18" s="138" t="s">
        <v>678</v>
      </c>
      <c r="H18" s="164">
        <f>C24+C32</f>
        <v>0</v>
      </c>
    </row>
    <row r="19" spans="1:8" ht="11.1" customHeight="1" x14ac:dyDescent="0.25">
      <c r="A19" s="175" t="s">
        <v>337</v>
      </c>
      <c r="B19" s="155" t="s">
        <v>807</v>
      </c>
      <c r="C19" s="156">
        <v>0</v>
      </c>
      <c r="D19" s="157">
        <f t="shared" si="0"/>
        <v>0</v>
      </c>
      <c r="E19" s="139" t="s">
        <v>679</v>
      </c>
      <c r="G19" s="139" t="s">
        <v>679</v>
      </c>
      <c r="H19" s="133">
        <f>C19+SUM(C25:C28)+C31</f>
        <v>0</v>
      </c>
    </row>
    <row r="20" spans="1:8" ht="11.1" customHeight="1" x14ac:dyDescent="0.25">
      <c r="A20" s="174" t="s">
        <v>339</v>
      </c>
      <c r="B20" s="147" t="s">
        <v>348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64">
        <f>C22+C30+SUM(C33:C35)</f>
        <v>0</v>
      </c>
    </row>
    <row r="21" spans="1:8" ht="11.1" customHeight="1" x14ac:dyDescent="0.25">
      <c r="A21" s="174" t="s">
        <v>341</v>
      </c>
      <c r="B21" s="147" t="s">
        <v>844</v>
      </c>
      <c r="C21" s="148">
        <v>0</v>
      </c>
      <c r="D21" s="149">
        <f t="shared" si="0"/>
        <v>0</v>
      </c>
      <c r="E21" s="137" t="s">
        <v>677</v>
      </c>
    </row>
    <row r="22" spans="1:8" ht="11.1" customHeight="1" x14ac:dyDescent="0.25">
      <c r="A22" s="198" t="s">
        <v>343</v>
      </c>
      <c r="B22" s="191" t="s">
        <v>351</v>
      </c>
      <c r="C22" s="188">
        <v>0</v>
      </c>
      <c r="D22" s="189">
        <f t="shared" ref="D22:D36" si="1">C22</f>
        <v>0</v>
      </c>
      <c r="E22" s="140" t="s">
        <v>680</v>
      </c>
      <c r="H22" s="169">
        <f>C15-H17-H18-H19-H20</f>
        <v>0</v>
      </c>
    </row>
    <row r="23" spans="1:8" ht="11.1" customHeight="1" x14ac:dyDescent="0.25">
      <c r="A23" s="146" t="s">
        <v>1772</v>
      </c>
      <c r="B23" s="147" t="s">
        <v>780</v>
      </c>
      <c r="C23" s="148">
        <v>0</v>
      </c>
      <c r="D23" s="149">
        <f t="shared" si="1"/>
        <v>0</v>
      </c>
      <c r="E23" s="137" t="s">
        <v>677</v>
      </c>
    </row>
    <row r="24" spans="1:8" ht="11.1" customHeight="1" x14ac:dyDescent="0.25">
      <c r="A24" s="150" t="s">
        <v>1773</v>
      </c>
      <c r="B24" s="151" t="s">
        <v>781</v>
      </c>
      <c r="C24" s="152">
        <v>0</v>
      </c>
      <c r="D24" s="153">
        <f t="shared" si="1"/>
        <v>0</v>
      </c>
      <c r="E24" s="138" t="s">
        <v>678</v>
      </c>
    </row>
    <row r="25" spans="1:8" ht="11.1" customHeight="1" x14ac:dyDescent="0.25">
      <c r="A25" s="154" t="s">
        <v>1774</v>
      </c>
      <c r="B25" s="155" t="s">
        <v>357</v>
      </c>
      <c r="C25" s="156">
        <v>0</v>
      </c>
      <c r="D25" s="157">
        <f t="shared" si="1"/>
        <v>0</v>
      </c>
      <c r="E25" s="139" t="s">
        <v>679</v>
      </c>
    </row>
    <row r="26" spans="1:8" ht="11.1" customHeight="1" x14ac:dyDescent="0.25">
      <c r="A26" s="154" t="s">
        <v>1775</v>
      </c>
      <c r="B26" s="155" t="s">
        <v>359</v>
      </c>
      <c r="C26" s="156">
        <v>0</v>
      </c>
      <c r="D26" s="157">
        <f t="shared" si="1"/>
        <v>0</v>
      </c>
      <c r="E26" s="139" t="s">
        <v>679</v>
      </c>
    </row>
    <row r="27" spans="1:8" ht="11.1" customHeight="1" x14ac:dyDescent="0.25">
      <c r="A27" s="154" t="s">
        <v>1776</v>
      </c>
      <c r="B27" s="155" t="s">
        <v>784</v>
      </c>
      <c r="C27" s="156">
        <v>0</v>
      </c>
      <c r="D27" s="157">
        <f t="shared" si="1"/>
        <v>0</v>
      </c>
      <c r="E27" s="139" t="s">
        <v>679</v>
      </c>
    </row>
    <row r="28" spans="1:8" ht="11.1" customHeight="1" x14ac:dyDescent="0.25">
      <c r="A28" s="154" t="s">
        <v>1777</v>
      </c>
      <c r="B28" s="155" t="s">
        <v>783</v>
      </c>
      <c r="C28" s="156">
        <v>0</v>
      </c>
      <c r="D28" s="157">
        <f t="shared" si="1"/>
        <v>0</v>
      </c>
      <c r="E28" s="139" t="s">
        <v>679</v>
      </c>
    </row>
    <row r="29" spans="1:8" ht="11.1" customHeight="1" x14ac:dyDescent="0.25">
      <c r="A29" s="146" t="s">
        <v>1778</v>
      </c>
      <c r="B29" s="147" t="s">
        <v>782</v>
      </c>
      <c r="C29" s="148">
        <v>0</v>
      </c>
      <c r="D29" s="149">
        <f t="shared" si="1"/>
        <v>0</v>
      </c>
      <c r="E29" s="137" t="s">
        <v>677</v>
      </c>
    </row>
    <row r="30" spans="1:8" ht="11.1" customHeight="1" x14ac:dyDescent="0.25">
      <c r="A30" s="190" t="s">
        <v>1779</v>
      </c>
      <c r="B30" s="191" t="s">
        <v>367</v>
      </c>
      <c r="C30" s="188">
        <v>0</v>
      </c>
      <c r="D30" s="189">
        <f t="shared" si="1"/>
        <v>0</v>
      </c>
      <c r="E30" s="140" t="s">
        <v>680</v>
      </c>
    </row>
    <row r="31" spans="1:8" ht="11.1" customHeight="1" x14ac:dyDescent="0.25">
      <c r="A31" s="154" t="s">
        <v>1780</v>
      </c>
      <c r="B31" s="155" t="s">
        <v>369</v>
      </c>
      <c r="C31" s="156">
        <v>0</v>
      </c>
      <c r="D31" s="157">
        <f t="shared" si="1"/>
        <v>0</v>
      </c>
      <c r="E31" s="139" t="s">
        <v>679</v>
      </c>
    </row>
    <row r="32" spans="1:8" ht="11.1" customHeight="1" x14ac:dyDescent="0.25">
      <c r="A32" s="150" t="s">
        <v>1781</v>
      </c>
      <c r="B32" s="151" t="s">
        <v>371</v>
      </c>
      <c r="C32" s="152">
        <v>0</v>
      </c>
      <c r="D32" s="153">
        <f t="shared" si="1"/>
        <v>0</v>
      </c>
      <c r="E32" s="138" t="s">
        <v>678</v>
      </c>
    </row>
    <row r="33" spans="1:8" ht="11.1" customHeight="1" x14ac:dyDescent="0.25">
      <c r="A33" s="190" t="s">
        <v>1782</v>
      </c>
      <c r="B33" s="191" t="s">
        <v>375</v>
      </c>
      <c r="C33" s="188">
        <v>0</v>
      </c>
      <c r="D33" s="189">
        <f t="shared" si="1"/>
        <v>0</v>
      </c>
      <c r="E33" s="140" t="s">
        <v>680</v>
      </c>
    </row>
    <row r="34" spans="1:8" ht="11.1" customHeight="1" x14ac:dyDescent="0.25">
      <c r="A34" s="190" t="s">
        <v>1783</v>
      </c>
      <c r="B34" s="191" t="s">
        <v>379</v>
      </c>
      <c r="C34" s="188">
        <v>0</v>
      </c>
      <c r="D34" s="189">
        <f t="shared" si="1"/>
        <v>0</v>
      </c>
      <c r="E34" s="140" t="s">
        <v>680</v>
      </c>
    </row>
    <row r="35" spans="1:8" ht="11.1" customHeight="1" x14ac:dyDescent="0.25">
      <c r="A35" s="190" t="s">
        <v>1784</v>
      </c>
      <c r="B35" s="191" t="s">
        <v>381</v>
      </c>
      <c r="C35" s="188">
        <v>0</v>
      </c>
      <c r="D35" s="189">
        <f t="shared" si="1"/>
        <v>0</v>
      </c>
      <c r="E35" s="140" t="s">
        <v>680</v>
      </c>
    </row>
    <row r="36" spans="1:8" x14ac:dyDescent="0.25">
      <c r="A36" s="94" t="s">
        <v>39</v>
      </c>
      <c r="B36" s="95" t="s">
        <v>185</v>
      </c>
      <c r="C36" s="96">
        <f>C38</f>
        <v>0</v>
      </c>
      <c r="D36" s="97">
        <f t="shared" si="1"/>
        <v>0</v>
      </c>
      <c r="G36" s="137" t="s">
        <v>677</v>
      </c>
      <c r="H36" s="169">
        <f>C36</f>
        <v>0</v>
      </c>
    </row>
    <row r="37" spans="1:8" ht="11.1" customHeight="1" x14ac:dyDescent="0.25">
      <c r="A37" s="109" t="s">
        <v>43</v>
      </c>
      <c r="B37" s="75" t="str">
        <f>DG!D32</f>
        <v>Statia 110/20 kV Trifesti, jud. IS</v>
      </c>
      <c r="C37" s="89"/>
      <c r="D37" s="66"/>
    </row>
    <row r="38" spans="1:8" s="76" customFormat="1" ht="11.1" customHeight="1" x14ac:dyDescent="0.25">
      <c r="A38" s="69" t="s">
        <v>872</v>
      </c>
      <c r="B38" s="82" t="s">
        <v>352</v>
      </c>
      <c r="C38" s="118">
        <v>0</v>
      </c>
      <c r="D38" s="66">
        <f>C38</f>
        <v>0</v>
      </c>
    </row>
    <row r="39" spans="1:8" ht="11.1" customHeight="1" x14ac:dyDescent="0.25">
      <c r="A39" s="94" t="s">
        <v>187</v>
      </c>
      <c r="B39" s="98" t="s">
        <v>48</v>
      </c>
      <c r="C39" s="96">
        <v>0</v>
      </c>
      <c r="D39" s="71">
        <v>0</v>
      </c>
    </row>
    <row r="40" spans="1:8" x14ac:dyDescent="0.25">
      <c r="A40" s="103" t="s">
        <v>188</v>
      </c>
      <c r="B40" s="104" t="s">
        <v>189</v>
      </c>
      <c r="C40" s="105">
        <v>0</v>
      </c>
      <c r="D40" s="102">
        <v>0</v>
      </c>
    </row>
    <row r="41" spans="1:8" x14ac:dyDescent="0.25">
      <c r="A41" s="103" t="s">
        <v>190</v>
      </c>
      <c r="B41" s="104" t="s">
        <v>69</v>
      </c>
      <c r="C41" s="106">
        <f>SUM(C42:C47)</f>
        <v>0</v>
      </c>
      <c r="D41" s="106">
        <f>SUM(D42:D47)</f>
        <v>0</v>
      </c>
    </row>
    <row r="42" spans="1:8" ht="12" customHeight="1" x14ac:dyDescent="0.25">
      <c r="A42" s="74" t="s">
        <v>191</v>
      </c>
      <c r="B42" s="72" t="s">
        <v>192</v>
      </c>
      <c r="C42" s="73">
        <v>0</v>
      </c>
      <c r="D42" s="73">
        <v>0</v>
      </c>
    </row>
    <row r="43" spans="1:8" x14ac:dyDescent="0.25">
      <c r="A43" s="74" t="s">
        <v>193</v>
      </c>
      <c r="B43" s="72" t="s">
        <v>194</v>
      </c>
      <c r="C43" s="73">
        <v>0</v>
      </c>
      <c r="D43" s="73">
        <v>0</v>
      </c>
    </row>
    <row r="44" spans="1:8" ht="22.8" x14ac:dyDescent="0.25">
      <c r="A44" s="74" t="s">
        <v>195</v>
      </c>
      <c r="B44" s="83" t="s">
        <v>196</v>
      </c>
      <c r="C44" s="73">
        <v>0</v>
      </c>
      <c r="D44" s="73">
        <v>0</v>
      </c>
    </row>
    <row r="45" spans="1:8" ht="12" customHeight="1" x14ac:dyDescent="0.25">
      <c r="A45" s="74" t="s">
        <v>197</v>
      </c>
      <c r="B45" s="83" t="s">
        <v>198</v>
      </c>
      <c r="C45" s="73">
        <v>0</v>
      </c>
      <c r="D45" s="73">
        <v>0</v>
      </c>
    </row>
    <row r="46" spans="1:8" ht="12" customHeight="1" x14ac:dyDescent="0.25">
      <c r="A46" s="74" t="s">
        <v>199</v>
      </c>
      <c r="B46" s="83" t="s">
        <v>200</v>
      </c>
      <c r="C46" s="73">
        <v>0</v>
      </c>
      <c r="D46" s="73">
        <v>0</v>
      </c>
    </row>
    <row r="47" spans="1:8" x14ac:dyDescent="0.25">
      <c r="A47" s="74" t="s">
        <v>201</v>
      </c>
      <c r="B47" s="72" t="s">
        <v>202</v>
      </c>
      <c r="C47" s="73">
        <v>0</v>
      </c>
      <c r="D47" s="73">
        <v>0</v>
      </c>
    </row>
    <row r="48" spans="1:8" ht="10.199999999999999" customHeight="1" x14ac:dyDescent="0.25">
      <c r="A48" s="103" t="s">
        <v>203</v>
      </c>
      <c r="B48" s="104" t="s">
        <v>204</v>
      </c>
      <c r="C48" s="105">
        <f>C49+C92+C107</f>
        <v>0</v>
      </c>
      <c r="D48" s="105">
        <f>D49+D92+D107</f>
        <v>0</v>
      </c>
    </row>
    <row r="49" spans="1:8" x14ac:dyDescent="0.25">
      <c r="A49" s="94" t="s">
        <v>92</v>
      </c>
      <c r="B49" s="99" t="s">
        <v>157</v>
      </c>
      <c r="C49" s="68">
        <f>SUM(C51:C91)</f>
        <v>0</v>
      </c>
      <c r="D49" s="68">
        <f>SUM(D51:D91)</f>
        <v>0</v>
      </c>
    </row>
    <row r="50" spans="1:8" x14ac:dyDescent="0.25">
      <c r="A50" s="87" t="s">
        <v>96</v>
      </c>
      <c r="B50" s="79" t="str">
        <f>DG!D78</f>
        <v>Statia 110/20 kV Trifesti, jud. IS</v>
      </c>
      <c r="C50" s="80"/>
      <c r="D50" s="110"/>
    </row>
    <row r="51" spans="1:8" x14ac:dyDescent="0.25">
      <c r="A51" s="146" t="s">
        <v>353</v>
      </c>
      <c r="B51" s="147" t="s">
        <v>864</v>
      </c>
      <c r="C51" s="148">
        <v>0</v>
      </c>
      <c r="D51" s="149">
        <f t="shared" ref="D51:D91" si="2">C51</f>
        <v>0</v>
      </c>
      <c r="E51" s="137" t="s">
        <v>677</v>
      </c>
      <c r="G51" s="137" t="s">
        <v>677</v>
      </c>
      <c r="H51" s="133">
        <f>C51+C52+C53+C54+C55+C56+C57+C58+C66+C68+C69</f>
        <v>0</v>
      </c>
    </row>
    <row r="52" spans="1:8" x14ac:dyDescent="0.25">
      <c r="A52" s="146" t="s">
        <v>354</v>
      </c>
      <c r="B52" s="147" t="s">
        <v>785</v>
      </c>
      <c r="C52" s="148">
        <v>0</v>
      </c>
      <c r="D52" s="149">
        <f t="shared" si="2"/>
        <v>0</v>
      </c>
      <c r="E52" s="137" t="s">
        <v>677</v>
      </c>
      <c r="G52" s="138" t="s">
        <v>678</v>
      </c>
      <c r="H52" s="133">
        <f>C67+C72+C73+C74+C78+C80</f>
        <v>0</v>
      </c>
    </row>
    <row r="53" spans="1:8" x14ac:dyDescent="0.25">
      <c r="A53" s="146" t="s">
        <v>356</v>
      </c>
      <c r="B53" s="147" t="s">
        <v>786</v>
      </c>
      <c r="C53" s="148">
        <v>0</v>
      </c>
      <c r="D53" s="149">
        <f t="shared" si="2"/>
        <v>0</v>
      </c>
      <c r="E53" s="137" t="s">
        <v>677</v>
      </c>
      <c r="G53" s="139" t="s">
        <v>679</v>
      </c>
      <c r="H53" s="133">
        <f>C59+C60+C61+C70+C71+C77+C79</f>
        <v>0</v>
      </c>
    </row>
    <row r="54" spans="1:8" x14ac:dyDescent="0.25">
      <c r="A54" s="146" t="s">
        <v>358</v>
      </c>
      <c r="B54" s="147" t="s">
        <v>787</v>
      </c>
      <c r="C54" s="148">
        <v>0</v>
      </c>
      <c r="D54" s="149">
        <f t="shared" si="2"/>
        <v>0</v>
      </c>
      <c r="E54" s="137" t="s">
        <v>677</v>
      </c>
      <c r="G54" s="140" t="s">
        <v>680</v>
      </c>
      <c r="H54" s="133">
        <f>C62+C63+C64+C65+C75+C76+C81+C82+C83+C84+C85+C86+C87+C88+C89</f>
        <v>0</v>
      </c>
    </row>
    <row r="55" spans="1:8" x14ac:dyDescent="0.25">
      <c r="A55" s="146" t="s">
        <v>360</v>
      </c>
      <c r="B55" s="147" t="s">
        <v>865</v>
      </c>
      <c r="C55" s="148">
        <v>0</v>
      </c>
      <c r="D55" s="149">
        <f t="shared" si="2"/>
        <v>0</v>
      </c>
      <c r="E55" s="137" t="s">
        <v>677</v>
      </c>
      <c r="G55" s="141" t="s">
        <v>681</v>
      </c>
      <c r="H55" s="133">
        <f>C90+C91</f>
        <v>0</v>
      </c>
    </row>
    <row r="56" spans="1:8" x14ac:dyDescent="0.25">
      <c r="A56" s="146" t="s">
        <v>362</v>
      </c>
      <c r="B56" s="147" t="s">
        <v>866</v>
      </c>
      <c r="C56" s="148">
        <v>0</v>
      </c>
      <c r="D56" s="149">
        <f t="shared" si="2"/>
        <v>0</v>
      </c>
      <c r="E56" s="137" t="s">
        <v>677</v>
      </c>
    </row>
    <row r="57" spans="1:8" x14ac:dyDescent="0.25">
      <c r="A57" s="146" t="s">
        <v>364</v>
      </c>
      <c r="B57" s="147" t="s">
        <v>213</v>
      </c>
      <c r="C57" s="148">
        <v>0</v>
      </c>
      <c r="D57" s="149">
        <f t="shared" si="2"/>
        <v>0</v>
      </c>
      <c r="E57" s="137" t="s">
        <v>677</v>
      </c>
      <c r="H57" s="169">
        <f>C49-H51-H52-H53-H54-H55</f>
        <v>0</v>
      </c>
    </row>
    <row r="58" spans="1:8" x14ac:dyDescent="0.25">
      <c r="A58" s="146" t="s">
        <v>366</v>
      </c>
      <c r="B58" s="147" t="s">
        <v>788</v>
      </c>
      <c r="C58" s="148">
        <v>0</v>
      </c>
      <c r="D58" s="149">
        <f t="shared" si="2"/>
        <v>0</v>
      </c>
      <c r="E58" s="137" t="s">
        <v>677</v>
      </c>
    </row>
    <row r="59" spans="1:8" x14ac:dyDescent="0.25">
      <c r="A59" s="154" t="s">
        <v>368</v>
      </c>
      <c r="B59" s="155" t="s">
        <v>398</v>
      </c>
      <c r="C59" s="156">
        <v>0</v>
      </c>
      <c r="D59" s="157">
        <f t="shared" si="2"/>
        <v>0</v>
      </c>
      <c r="E59" s="139" t="s">
        <v>679</v>
      </c>
    </row>
    <row r="60" spans="1:8" x14ac:dyDescent="0.25">
      <c r="A60" s="154" t="s">
        <v>370</v>
      </c>
      <c r="B60" s="155" t="s">
        <v>531</v>
      </c>
      <c r="C60" s="156">
        <v>0</v>
      </c>
      <c r="D60" s="157">
        <f t="shared" si="2"/>
        <v>0</v>
      </c>
      <c r="E60" s="139" t="s">
        <v>679</v>
      </c>
    </row>
    <row r="61" spans="1:8" x14ac:dyDescent="0.25">
      <c r="A61" s="154" t="s">
        <v>372</v>
      </c>
      <c r="B61" s="155" t="s">
        <v>319</v>
      </c>
      <c r="C61" s="156">
        <v>0</v>
      </c>
      <c r="D61" s="157">
        <f t="shared" si="2"/>
        <v>0</v>
      </c>
      <c r="E61" s="139" t="s">
        <v>679</v>
      </c>
    </row>
    <row r="62" spans="1:8" x14ac:dyDescent="0.25">
      <c r="A62" s="190" t="s">
        <v>374</v>
      </c>
      <c r="B62" s="191" t="s">
        <v>428</v>
      </c>
      <c r="C62" s="188">
        <v>0</v>
      </c>
      <c r="D62" s="189">
        <f t="shared" si="2"/>
        <v>0</v>
      </c>
      <c r="E62" s="140" t="s">
        <v>680</v>
      </c>
    </row>
    <row r="63" spans="1:8" x14ac:dyDescent="0.25">
      <c r="A63" s="190" t="s">
        <v>376</v>
      </c>
      <c r="B63" s="191" t="s">
        <v>789</v>
      </c>
      <c r="C63" s="188">
        <v>0</v>
      </c>
      <c r="D63" s="189">
        <f t="shared" si="2"/>
        <v>0</v>
      </c>
      <c r="E63" s="140" t="s">
        <v>680</v>
      </c>
    </row>
    <row r="64" spans="1:8" x14ac:dyDescent="0.25">
      <c r="A64" s="190" t="s">
        <v>378</v>
      </c>
      <c r="B64" s="191" t="s">
        <v>675</v>
      </c>
      <c r="C64" s="188">
        <v>0</v>
      </c>
      <c r="D64" s="189">
        <f t="shared" si="2"/>
        <v>0</v>
      </c>
      <c r="E64" s="140" t="s">
        <v>680</v>
      </c>
    </row>
    <row r="65" spans="1:5" x14ac:dyDescent="0.25">
      <c r="A65" s="190" t="s">
        <v>380</v>
      </c>
      <c r="B65" s="191" t="s">
        <v>867</v>
      </c>
      <c r="C65" s="188">
        <v>0</v>
      </c>
      <c r="D65" s="189">
        <f t="shared" si="2"/>
        <v>0</v>
      </c>
      <c r="E65" s="140" t="s">
        <v>680</v>
      </c>
    </row>
    <row r="66" spans="1:5" x14ac:dyDescent="0.25">
      <c r="A66" s="146" t="s">
        <v>382</v>
      </c>
      <c r="B66" s="147" t="s">
        <v>790</v>
      </c>
      <c r="C66" s="148">
        <v>0</v>
      </c>
      <c r="D66" s="149">
        <f t="shared" si="2"/>
        <v>0</v>
      </c>
      <c r="E66" s="137" t="s">
        <v>677</v>
      </c>
    </row>
    <row r="67" spans="1:5" x14ac:dyDescent="0.25">
      <c r="A67" s="150" t="s">
        <v>383</v>
      </c>
      <c r="B67" s="151" t="s">
        <v>791</v>
      </c>
      <c r="C67" s="152">
        <v>0</v>
      </c>
      <c r="D67" s="153">
        <f t="shared" si="2"/>
        <v>0</v>
      </c>
      <c r="E67" s="138" t="s">
        <v>678</v>
      </c>
    </row>
    <row r="68" spans="1:5" x14ac:dyDescent="0.25">
      <c r="A68" s="146" t="s">
        <v>385</v>
      </c>
      <c r="B68" s="147" t="s">
        <v>868</v>
      </c>
      <c r="C68" s="148">
        <v>0</v>
      </c>
      <c r="D68" s="149">
        <f t="shared" si="2"/>
        <v>0</v>
      </c>
      <c r="E68" s="137" t="s">
        <v>677</v>
      </c>
    </row>
    <row r="69" spans="1:5" x14ac:dyDescent="0.25">
      <c r="A69" s="146" t="s">
        <v>387</v>
      </c>
      <c r="B69" s="147" t="s">
        <v>869</v>
      </c>
      <c r="C69" s="148">
        <v>0</v>
      </c>
      <c r="D69" s="149">
        <f t="shared" si="2"/>
        <v>0</v>
      </c>
      <c r="E69" s="137" t="s">
        <v>677</v>
      </c>
    </row>
    <row r="70" spans="1:5" x14ac:dyDescent="0.25">
      <c r="A70" s="154" t="s">
        <v>388</v>
      </c>
      <c r="B70" s="155" t="s">
        <v>870</v>
      </c>
      <c r="C70" s="156">
        <v>0</v>
      </c>
      <c r="D70" s="157">
        <f t="shared" si="2"/>
        <v>0</v>
      </c>
      <c r="E70" s="139" t="s">
        <v>679</v>
      </c>
    </row>
    <row r="71" spans="1:5" x14ac:dyDescent="0.25">
      <c r="A71" s="154" t="s">
        <v>389</v>
      </c>
      <c r="B71" s="155" t="s">
        <v>415</v>
      </c>
      <c r="C71" s="156">
        <v>0</v>
      </c>
      <c r="D71" s="157">
        <f t="shared" si="2"/>
        <v>0</v>
      </c>
      <c r="E71" s="139" t="s">
        <v>679</v>
      </c>
    </row>
    <row r="72" spans="1:5" x14ac:dyDescent="0.25">
      <c r="A72" s="150" t="s">
        <v>391</v>
      </c>
      <c r="B72" s="151" t="s">
        <v>794</v>
      </c>
      <c r="C72" s="152">
        <v>0</v>
      </c>
      <c r="D72" s="153">
        <f t="shared" si="2"/>
        <v>0</v>
      </c>
      <c r="E72" s="138" t="s">
        <v>678</v>
      </c>
    </row>
    <row r="73" spans="1:5" x14ac:dyDescent="0.25">
      <c r="A73" s="150" t="s">
        <v>393</v>
      </c>
      <c r="B73" s="151" t="s">
        <v>439</v>
      </c>
      <c r="C73" s="152">
        <v>0</v>
      </c>
      <c r="D73" s="153">
        <f t="shared" si="2"/>
        <v>0</v>
      </c>
      <c r="E73" s="138" t="s">
        <v>678</v>
      </c>
    </row>
    <row r="74" spans="1:5" x14ac:dyDescent="0.25">
      <c r="A74" s="150" t="s">
        <v>395</v>
      </c>
      <c r="B74" s="151" t="s">
        <v>511</v>
      </c>
      <c r="C74" s="152">
        <v>0</v>
      </c>
      <c r="D74" s="153">
        <f t="shared" si="2"/>
        <v>0</v>
      </c>
      <c r="E74" s="138" t="s">
        <v>678</v>
      </c>
    </row>
    <row r="75" spans="1:5" x14ac:dyDescent="0.25">
      <c r="A75" s="190" t="s">
        <v>397</v>
      </c>
      <c r="B75" s="191" t="s">
        <v>320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90" t="s">
        <v>399</v>
      </c>
      <c r="B76" s="191" t="s">
        <v>510</v>
      </c>
      <c r="C76" s="188">
        <v>0</v>
      </c>
      <c r="D76" s="189">
        <f t="shared" si="2"/>
        <v>0</v>
      </c>
      <c r="E76" s="140" t="s">
        <v>680</v>
      </c>
    </row>
    <row r="77" spans="1:5" x14ac:dyDescent="0.25">
      <c r="A77" s="154" t="s">
        <v>400</v>
      </c>
      <c r="B77" s="155" t="s">
        <v>795</v>
      </c>
      <c r="C77" s="156">
        <v>0</v>
      </c>
      <c r="D77" s="157">
        <f t="shared" si="2"/>
        <v>0</v>
      </c>
      <c r="E77" s="139" t="s">
        <v>679</v>
      </c>
    </row>
    <row r="78" spans="1:5" x14ac:dyDescent="0.25">
      <c r="A78" s="150" t="s">
        <v>401</v>
      </c>
      <c r="B78" s="151" t="s">
        <v>796</v>
      </c>
      <c r="C78" s="152">
        <v>0</v>
      </c>
      <c r="D78" s="153">
        <f t="shared" si="2"/>
        <v>0</v>
      </c>
      <c r="E78" s="138" t="s">
        <v>678</v>
      </c>
    </row>
    <row r="79" spans="1:5" x14ac:dyDescent="0.25">
      <c r="A79" s="154" t="s">
        <v>402</v>
      </c>
      <c r="B79" s="155" t="s">
        <v>244</v>
      </c>
      <c r="C79" s="156">
        <v>0</v>
      </c>
      <c r="D79" s="157">
        <f t="shared" si="2"/>
        <v>0</v>
      </c>
      <c r="E79" s="139" t="s">
        <v>679</v>
      </c>
    </row>
    <row r="80" spans="1:5" x14ac:dyDescent="0.25">
      <c r="A80" s="150" t="s">
        <v>403</v>
      </c>
      <c r="B80" s="151" t="s">
        <v>318</v>
      </c>
      <c r="C80" s="152">
        <v>0</v>
      </c>
      <c r="D80" s="153">
        <f t="shared" si="2"/>
        <v>0</v>
      </c>
      <c r="E80" s="138" t="s">
        <v>678</v>
      </c>
    </row>
    <row r="81" spans="1:8" x14ac:dyDescent="0.25">
      <c r="A81" s="190" t="s">
        <v>404</v>
      </c>
      <c r="B81" s="191" t="s">
        <v>798</v>
      </c>
      <c r="C81" s="188">
        <v>0</v>
      </c>
      <c r="D81" s="189">
        <f t="shared" si="2"/>
        <v>0</v>
      </c>
      <c r="E81" s="140" t="s">
        <v>680</v>
      </c>
    </row>
    <row r="82" spans="1:8" x14ac:dyDescent="0.25">
      <c r="A82" s="190" t="s">
        <v>405</v>
      </c>
      <c r="B82" s="191" t="s">
        <v>799</v>
      </c>
      <c r="C82" s="188">
        <v>0</v>
      </c>
      <c r="D82" s="189">
        <f t="shared" si="2"/>
        <v>0</v>
      </c>
      <c r="E82" s="140" t="s">
        <v>680</v>
      </c>
    </row>
    <row r="83" spans="1:8" x14ac:dyDescent="0.25">
      <c r="A83" s="190" t="s">
        <v>406</v>
      </c>
      <c r="B83" s="191" t="s">
        <v>800</v>
      </c>
      <c r="C83" s="188">
        <v>0</v>
      </c>
      <c r="D83" s="189">
        <f t="shared" si="2"/>
        <v>0</v>
      </c>
      <c r="E83" s="140" t="s">
        <v>680</v>
      </c>
    </row>
    <row r="84" spans="1:8" x14ac:dyDescent="0.25">
      <c r="A84" s="190" t="s">
        <v>408</v>
      </c>
      <c r="B84" s="191" t="s">
        <v>254</v>
      </c>
      <c r="C84" s="188">
        <v>0</v>
      </c>
      <c r="D84" s="189">
        <f t="shared" si="2"/>
        <v>0</v>
      </c>
      <c r="E84" s="140" t="s">
        <v>680</v>
      </c>
    </row>
    <row r="85" spans="1:8" x14ac:dyDescent="0.25">
      <c r="A85" s="190" t="s">
        <v>410</v>
      </c>
      <c r="B85" s="191" t="s">
        <v>801</v>
      </c>
      <c r="C85" s="188">
        <v>0</v>
      </c>
      <c r="D85" s="189">
        <f t="shared" si="2"/>
        <v>0</v>
      </c>
      <c r="E85" s="140" t="s">
        <v>680</v>
      </c>
    </row>
    <row r="86" spans="1:8" x14ac:dyDescent="0.25">
      <c r="A86" s="190" t="s">
        <v>412</v>
      </c>
      <c r="B86" s="191" t="s">
        <v>432</v>
      </c>
      <c r="C86" s="188">
        <v>0</v>
      </c>
      <c r="D86" s="189">
        <f t="shared" si="2"/>
        <v>0</v>
      </c>
      <c r="E86" s="140" t="s">
        <v>680</v>
      </c>
    </row>
    <row r="87" spans="1:8" x14ac:dyDescent="0.25">
      <c r="A87" s="190" t="s">
        <v>414</v>
      </c>
      <c r="B87" s="191" t="s">
        <v>433</v>
      </c>
      <c r="C87" s="188">
        <v>0</v>
      </c>
      <c r="D87" s="189">
        <f t="shared" si="2"/>
        <v>0</v>
      </c>
      <c r="E87" s="140" t="s">
        <v>680</v>
      </c>
    </row>
    <row r="88" spans="1:8" x14ac:dyDescent="0.25">
      <c r="A88" s="190" t="s">
        <v>416</v>
      </c>
      <c r="B88" s="191" t="s">
        <v>802</v>
      </c>
      <c r="C88" s="188">
        <v>0</v>
      </c>
      <c r="D88" s="189">
        <f t="shared" si="2"/>
        <v>0</v>
      </c>
      <c r="E88" s="140" t="s">
        <v>680</v>
      </c>
    </row>
    <row r="89" spans="1:8" x14ac:dyDescent="0.25">
      <c r="A89" s="190" t="s">
        <v>417</v>
      </c>
      <c r="B89" s="191" t="s">
        <v>435</v>
      </c>
      <c r="C89" s="188">
        <v>0</v>
      </c>
      <c r="D89" s="189">
        <f t="shared" si="2"/>
        <v>0</v>
      </c>
      <c r="E89" s="140" t="s">
        <v>680</v>
      </c>
      <c r="F89" s="67" t="s">
        <v>163</v>
      </c>
    </row>
    <row r="90" spans="1:8" x14ac:dyDescent="0.25">
      <c r="A90" s="142" t="s">
        <v>419</v>
      </c>
      <c r="B90" s="143" t="s">
        <v>803</v>
      </c>
      <c r="C90" s="144">
        <v>0</v>
      </c>
      <c r="D90" s="145">
        <f t="shared" si="2"/>
        <v>0</v>
      </c>
      <c r="E90" s="141" t="s">
        <v>681</v>
      </c>
      <c r="F90" s="67" t="s">
        <v>158</v>
      </c>
    </row>
    <row r="91" spans="1:8" x14ac:dyDescent="0.25">
      <c r="A91" s="142" t="s">
        <v>421</v>
      </c>
      <c r="B91" s="143" t="s">
        <v>260</v>
      </c>
      <c r="C91" s="144">
        <v>0</v>
      </c>
      <c r="D91" s="145">
        <f t="shared" si="2"/>
        <v>0</v>
      </c>
      <c r="E91" s="141" t="s">
        <v>681</v>
      </c>
      <c r="F91" s="67" t="s">
        <v>158</v>
      </c>
    </row>
    <row r="92" spans="1:8" x14ac:dyDescent="0.25">
      <c r="A92" s="94" t="s">
        <v>101</v>
      </c>
      <c r="B92" s="99" t="s">
        <v>261</v>
      </c>
      <c r="C92" s="68">
        <f>SUM(C94:C106)</f>
        <v>0</v>
      </c>
      <c r="D92" s="68">
        <f>SUM(D94:D107)</f>
        <v>0</v>
      </c>
    </row>
    <row r="93" spans="1:8" x14ac:dyDescent="0.25">
      <c r="A93" s="87" t="s">
        <v>105</v>
      </c>
      <c r="B93" s="122" t="str">
        <f>DG!D91</f>
        <v>Statia 110/20 kV Trifesti, jud. IS</v>
      </c>
      <c r="C93" s="89"/>
      <c r="D93" s="66"/>
    </row>
    <row r="94" spans="1:8" ht="12" customHeight="1" x14ac:dyDescent="0.25">
      <c r="A94" s="158" t="s">
        <v>848</v>
      </c>
      <c r="B94" s="147" t="s">
        <v>741</v>
      </c>
      <c r="C94" s="148">
        <v>0</v>
      </c>
      <c r="D94" s="149">
        <f t="shared" ref="D94:D106" si="3">C94</f>
        <v>0</v>
      </c>
      <c r="E94" s="137" t="s">
        <v>677</v>
      </c>
      <c r="G94" s="137" t="s">
        <v>677</v>
      </c>
      <c r="H94" s="133">
        <f>C94</f>
        <v>0</v>
      </c>
    </row>
    <row r="95" spans="1:8" ht="12" customHeight="1" x14ac:dyDescent="0.25">
      <c r="A95" s="160" t="s">
        <v>849</v>
      </c>
      <c r="B95" s="155" t="s">
        <v>748</v>
      </c>
      <c r="C95" s="156">
        <v>0</v>
      </c>
      <c r="D95" s="157">
        <f t="shared" si="3"/>
        <v>0</v>
      </c>
      <c r="E95" s="139" t="s">
        <v>679</v>
      </c>
      <c r="G95" s="138" t="s">
        <v>678</v>
      </c>
      <c r="H95" s="133">
        <f>C96+C98+C102</f>
        <v>0</v>
      </c>
    </row>
    <row r="96" spans="1:8" ht="12" customHeight="1" x14ac:dyDescent="0.25">
      <c r="A96" s="162" t="s">
        <v>850</v>
      </c>
      <c r="B96" s="151" t="s">
        <v>749</v>
      </c>
      <c r="C96" s="152">
        <v>0</v>
      </c>
      <c r="D96" s="153">
        <f t="shared" si="3"/>
        <v>0</v>
      </c>
      <c r="E96" s="138" t="s">
        <v>678</v>
      </c>
      <c r="G96" s="139" t="s">
        <v>679</v>
      </c>
      <c r="H96" s="133">
        <f>C95+C97+C101+C103</f>
        <v>0</v>
      </c>
    </row>
    <row r="97" spans="1:8" ht="12" customHeight="1" x14ac:dyDescent="0.25">
      <c r="A97" s="160" t="s">
        <v>851</v>
      </c>
      <c r="B97" s="155" t="s">
        <v>750</v>
      </c>
      <c r="C97" s="156">
        <v>0</v>
      </c>
      <c r="D97" s="157">
        <f t="shared" si="3"/>
        <v>0</v>
      </c>
      <c r="E97" s="139" t="s">
        <v>679</v>
      </c>
      <c r="G97" s="140" t="s">
        <v>680</v>
      </c>
      <c r="H97" s="133">
        <f>C99+C100+C104+C105+C106</f>
        <v>0</v>
      </c>
    </row>
    <row r="98" spans="1:8" ht="12" customHeight="1" x14ac:dyDescent="0.25">
      <c r="A98" s="162" t="s">
        <v>852</v>
      </c>
      <c r="B98" s="151" t="s">
        <v>861</v>
      </c>
      <c r="C98" s="152">
        <v>0</v>
      </c>
      <c r="D98" s="153">
        <f t="shared" si="3"/>
        <v>0</v>
      </c>
      <c r="E98" s="138" t="s">
        <v>678</v>
      </c>
    </row>
    <row r="99" spans="1:8" ht="12" customHeight="1" x14ac:dyDescent="0.25">
      <c r="A99" s="194" t="s">
        <v>853</v>
      </c>
      <c r="B99" s="191" t="s">
        <v>752</v>
      </c>
      <c r="C99" s="188">
        <v>0</v>
      </c>
      <c r="D99" s="189">
        <f t="shared" si="3"/>
        <v>0</v>
      </c>
      <c r="E99" s="140" t="s">
        <v>680</v>
      </c>
      <c r="H99" s="169">
        <f>C92-H94-H95-H96-H97</f>
        <v>0</v>
      </c>
    </row>
    <row r="100" spans="1:8" x14ac:dyDescent="0.25">
      <c r="A100" s="194" t="s">
        <v>854</v>
      </c>
      <c r="B100" s="191" t="s">
        <v>753</v>
      </c>
      <c r="C100" s="188">
        <v>0</v>
      </c>
      <c r="D100" s="189">
        <f t="shared" si="3"/>
        <v>0</v>
      </c>
      <c r="E100" s="140" t="s">
        <v>680</v>
      </c>
    </row>
    <row r="101" spans="1:8" x14ac:dyDescent="0.25">
      <c r="A101" s="160" t="s">
        <v>855</v>
      </c>
      <c r="B101" s="155" t="s">
        <v>754</v>
      </c>
      <c r="C101" s="156">
        <v>0</v>
      </c>
      <c r="D101" s="157">
        <f t="shared" si="3"/>
        <v>0</v>
      </c>
      <c r="E101" s="139" t="s">
        <v>679</v>
      </c>
    </row>
    <row r="102" spans="1:8" ht="12" customHeight="1" x14ac:dyDescent="0.25">
      <c r="A102" s="162" t="s">
        <v>856</v>
      </c>
      <c r="B102" s="151" t="s">
        <v>755</v>
      </c>
      <c r="C102" s="152">
        <v>0</v>
      </c>
      <c r="D102" s="153">
        <f t="shared" si="3"/>
        <v>0</v>
      </c>
      <c r="E102" s="138" t="s">
        <v>678</v>
      </c>
    </row>
    <row r="103" spans="1:8" ht="12" customHeight="1" x14ac:dyDescent="0.25">
      <c r="A103" s="160" t="s">
        <v>857</v>
      </c>
      <c r="B103" s="155" t="s">
        <v>756</v>
      </c>
      <c r="C103" s="156">
        <v>0</v>
      </c>
      <c r="D103" s="157">
        <f t="shared" si="3"/>
        <v>0</v>
      </c>
      <c r="E103" s="139" t="s">
        <v>679</v>
      </c>
    </row>
    <row r="104" spans="1:8" ht="12" customHeight="1" x14ac:dyDescent="0.25">
      <c r="A104" s="194" t="s">
        <v>858</v>
      </c>
      <c r="B104" s="191" t="s">
        <v>862</v>
      </c>
      <c r="C104" s="188">
        <v>0</v>
      </c>
      <c r="D104" s="189">
        <f t="shared" si="3"/>
        <v>0</v>
      </c>
      <c r="E104" s="140" t="s">
        <v>680</v>
      </c>
    </row>
    <row r="105" spans="1:8" ht="12" customHeight="1" x14ac:dyDescent="0.25">
      <c r="A105" s="194" t="s">
        <v>859</v>
      </c>
      <c r="B105" s="191" t="s">
        <v>758</v>
      </c>
      <c r="C105" s="188">
        <v>0</v>
      </c>
      <c r="D105" s="189">
        <f t="shared" si="3"/>
        <v>0</v>
      </c>
      <c r="E105" s="140" t="s">
        <v>680</v>
      </c>
    </row>
    <row r="106" spans="1:8" ht="12" customHeight="1" x14ac:dyDescent="0.25">
      <c r="A106" s="194" t="s">
        <v>860</v>
      </c>
      <c r="B106" s="191" t="s">
        <v>863</v>
      </c>
      <c r="C106" s="188">
        <v>0</v>
      </c>
      <c r="D106" s="189">
        <f t="shared" si="3"/>
        <v>0</v>
      </c>
      <c r="E106" s="140" t="s">
        <v>680</v>
      </c>
    </row>
    <row r="107" spans="1:8" x14ac:dyDescent="0.25">
      <c r="A107" s="94" t="s">
        <v>110</v>
      </c>
      <c r="B107" s="99" t="s">
        <v>270</v>
      </c>
      <c r="C107" s="68">
        <f>SUM(C109:C121)</f>
        <v>0</v>
      </c>
      <c r="D107" s="68">
        <f>SUM(D109:D121)</f>
        <v>0</v>
      </c>
    </row>
    <row r="108" spans="1:8" x14ac:dyDescent="0.25">
      <c r="A108" s="88" t="s">
        <v>114</v>
      </c>
      <c r="B108" s="111" t="str">
        <f>DG!D104</f>
        <v>Statia 110/20 kV Trifesti, jud. IS</v>
      </c>
      <c r="C108" s="89"/>
      <c r="D108" s="110"/>
    </row>
    <row r="109" spans="1:8" x14ac:dyDescent="0.25">
      <c r="A109" s="158" t="s">
        <v>440</v>
      </c>
      <c r="B109" s="147" t="s">
        <v>272</v>
      </c>
      <c r="C109" s="148">
        <v>0</v>
      </c>
      <c r="D109" s="159">
        <v>0</v>
      </c>
      <c r="E109" s="137" t="s">
        <v>677</v>
      </c>
      <c r="G109" s="137" t="s">
        <v>677</v>
      </c>
      <c r="H109" s="164">
        <f>C109</f>
        <v>0</v>
      </c>
    </row>
    <row r="110" spans="1:8" ht="12" customHeight="1" x14ac:dyDescent="0.25">
      <c r="A110" s="160" t="s">
        <v>442</v>
      </c>
      <c r="B110" s="155" t="s">
        <v>761</v>
      </c>
      <c r="C110" s="156">
        <v>0</v>
      </c>
      <c r="D110" s="161">
        <v>0</v>
      </c>
      <c r="E110" s="139" t="s">
        <v>679</v>
      </c>
      <c r="G110" s="138" t="s">
        <v>678</v>
      </c>
      <c r="H110" s="133">
        <f>C111+C113+C117</f>
        <v>0</v>
      </c>
    </row>
    <row r="111" spans="1:8" ht="12" customHeight="1" x14ac:dyDescent="0.25">
      <c r="A111" s="162" t="s">
        <v>444</v>
      </c>
      <c r="B111" s="151" t="s">
        <v>766</v>
      </c>
      <c r="C111" s="152">
        <v>0</v>
      </c>
      <c r="D111" s="163">
        <v>0</v>
      </c>
      <c r="E111" s="138" t="s">
        <v>678</v>
      </c>
      <c r="G111" s="139" t="s">
        <v>679</v>
      </c>
      <c r="H111" s="133">
        <f>C110+C112+C116+C118</f>
        <v>0</v>
      </c>
    </row>
    <row r="112" spans="1:8" ht="12" customHeight="1" x14ac:dyDescent="0.25">
      <c r="A112" s="160" t="s">
        <v>446</v>
      </c>
      <c r="B112" s="155" t="s">
        <v>767</v>
      </c>
      <c r="C112" s="156">
        <v>0</v>
      </c>
      <c r="D112" s="161">
        <v>0</v>
      </c>
      <c r="E112" s="139" t="s">
        <v>679</v>
      </c>
      <c r="G112" s="140" t="s">
        <v>680</v>
      </c>
      <c r="H112" s="133">
        <f>C114+C115+C119+C120+C121</f>
        <v>0</v>
      </c>
    </row>
    <row r="113" spans="1:8" ht="12" customHeight="1" x14ac:dyDescent="0.25">
      <c r="A113" s="162" t="s">
        <v>447</v>
      </c>
      <c r="B113" s="151" t="s">
        <v>768</v>
      </c>
      <c r="C113" s="152">
        <v>0</v>
      </c>
      <c r="D113" s="163">
        <v>0</v>
      </c>
      <c r="E113" s="138" t="s">
        <v>678</v>
      </c>
    </row>
    <row r="114" spans="1:8" ht="12" customHeight="1" x14ac:dyDescent="0.25">
      <c r="A114" s="194" t="s">
        <v>448</v>
      </c>
      <c r="B114" s="191" t="s">
        <v>330</v>
      </c>
      <c r="C114" s="188">
        <v>0</v>
      </c>
      <c r="D114" s="197">
        <v>0</v>
      </c>
      <c r="E114" s="140" t="s">
        <v>680</v>
      </c>
      <c r="H114" s="169">
        <f>C107-H109-H110-H111-H112</f>
        <v>0</v>
      </c>
    </row>
    <row r="115" spans="1:8" ht="12" customHeight="1" x14ac:dyDescent="0.25">
      <c r="A115" s="194" t="s">
        <v>449</v>
      </c>
      <c r="B115" s="191" t="s">
        <v>769</v>
      </c>
      <c r="C115" s="188">
        <v>0</v>
      </c>
      <c r="D115" s="197">
        <v>0</v>
      </c>
      <c r="E115" s="140" t="s">
        <v>680</v>
      </c>
    </row>
    <row r="116" spans="1:8" ht="12" customHeight="1" x14ac:dyDescent="0.25">
      <c r="A116" s="160" t="s">
        <v>450</v>
      </c>
      <c r="B116" s="155" t="s">
        <v>770</v>
      </c>
      <c r="C116" s="156">
        <v>0</v>
      </c>
      <c r="D116" s="161">
        <v>0</v>
      </c>
      <c r="E116" s="139" t="s">
        <v>679</v>
      </c>
    </row>
    <row r="117" spans="1:8" ht="12" customHeight="1" x14ac:dyDescent="0.25">
      <c r="A117" s="162" t="s">
        <v>452</v>
      </c>
      <c r="B117" s="151" t="s">
        <v>771</v>
      </c>
      <c r="C117" s="152">
        <v>0</v>
      </c>
      <c r="D117" s="163">
        <v>0</v>
      </c>
      <c r="E117" s="138" t="s">
        <v>678</v>
      </c>
    </row>
    <row r="118" spans="1:8" ht="12" customHeight="1" x14ac:dyDescent="0.25">
      <c r="A118" s="160" t="s">
        <v>453</v>
      </c>
      <c r="B118" s="155" t="s">
        <v>772</v>
      </c>
      <c r="C118" s="156">
        <v>0</v>
      </c>
      <c r="D118" s="161">
        <v>0</v>
      </c>
      <c r="E118" s="139" t="s">
        <v>679</v>
      </c>
    </row>
    <row r="119" spans="1:8" ht="12" customHeight="1" x14ac:dyDescent="0.25">
      <c r="A119" s="194" t="s">
        <v>454</v>
      </c>
      <c r="B119" s="191" t="s">
        <v>773</v>
      </c>
      <c r="C119" s="188">
        <v>0</v>
      </c>
      <c r="D119" s="197">
        <v>0</v>
      </c>
      <c r="E119" s="140" t="s">
        <v>680</v>
      </c>
    </row>
    <row r="120" spans="1:8" ht="12" customHeight="1" x14ac:dyDescent="0.25">
      <c r="A120" s="194" t="s">
        <v>845</v>
      </c>
      <c r="B120" s="191" t="s">
        <v>774</v>
      </c>
      <c r="C120" s="188">
        <v>0</v>
      </c>
      <c r="D120" s="197">
        <v>0</v>
      </c>
      <c r="E120" s="140" t="s">
        <v>680</v>
      </c>
    </row>
    <row r="121" spans="1:8" ht="12" customHeight="1" x14ac:dyDescent="0.25">
      <c r="A121" s="194" t="s">
        <v>846</v>
      </c>
      <c r="B121" s="191" t="s">
        <v>847</v>
      </c>
      <c r="C121" s="188">
        <v>0</v>
      </c>
      <c r="D121" s="197">
        <v>0</v>
      </c>
      <c r="E121" s="140" t="s">
        <v>680</v>
      </c>
    </row>
    <row r="122" spans="1:8" ht="12" customHeight="1" x14ac:dyDescent="0.25">
      <c r="A122" s="74" t="s">
        <v>119</v>
      </c>
      <c r="B122" s="83" t="s">
        <v>282</v>
      </c>
      <c r="C122" s="73">
        <v>0</v>
      </c>
      <c r="D122" s="73">
        <v>0</v>
      </c>
    </row>
    <row r="123" spans="1:8" x14ac:dyDescent="0.25">
      <c r="A123" s="74" t="s">
        <v>121</v>
      </c>
      <c r="B123" s="72" t="s">
        <v>283</v>
      </c>
      <c r="C123" s="73">
        <v>0</v>
      </c>
      <c r="D123" s="73">
        <v>0</v>
      </c>
    </row>
    <row r="124" spans="1:8" x14ac:dyDescent="0.25">
      <c r="A124" s="74" t="s">
        <v>123</v>
      </c>
      <c r="B124" s="72" t="s">
        <v>284</v>
      </c>
      <c r="C124" s="73">
        <v>0</v>
      </c>
      <c r="D124" s="73">
        <v>0</v>
      </c>
    </row>
    <row r="125" spans="1:8" x14ac:dyDescent="0.25">
      <c r="A125" s="74" t="s">
        <v>127</v>
      </c>
      <c r="B125" s="72" t="s">
        <v>285</v>
      </c>
      <c r="C125" s="73">
        <v>0</v>
      </c>
      <c r="D125" s="73">
        <v>0</v>
      </c>
    </row>
    <row r="126" spans="1:8" x14ac:dyDescent="0.25">
      <c r="A126" s="74" t="s">
        <v>286</v>
      </c>
      <c r="B126" s="77" t="s">
        <v>287</v>
      </c>
      <c r="C126" s="73">
        <v>0</v>
      </c>
      <c r="D126" s="73">
        <v>0</v>
      </c>
    </row>
    <row r="127" spans="1:8" x14ac:dyDescent="0.25">
      <c r="A127" s="74" t="s">
        <v>288</v>
      </c>
      <c r="B127" s="72" t="s">
        <v>289</v>
      </c>
      <c r="C127" s="73">
        <v>0</v>
      </c>
      <c r="D127" s="73">
        <v>0</v>
      </c>
    </row>
    <row r="128" spans="1:8" x14ac:dyDescent="0.25">
      <c r="A128" s="74" t="s">
        <v>150</v>
      </c>
      <c r="B128" s="72" t="s">
        <v>290</v>
      </c>
      <c r="C128" s="73">
        <v>0</v>
      </c>
      <c r="D128" s="73">
        <v>0</v>
      </c>
    </row>
    <row r="129" spans="1:4" x14ac:dyDescent="0.25">
      <c r="A129" s="274" t="s">
        <v>291</v>
      </c>
      <c r="B129" s="274"/>
      <c r="C129" s="73">
        <f>C13+C40+C41+C48</f>
        <v>0</v>
      </c>
      <c r="D129" s="73">
        <f>D13+D40+D41+D48</f>
        <v>0</v>
      </c>
    </row>
    <row r="130" spans="1:4" x14ac:dyDescent="0.25">
      <c r="A130" s="274" t="s">
        <v>292</v>
      </c>
      <c r="B130" s="274"/>
      <c r="C130" s="73">
        <f>C129*19%</f>
        <v>0</v>
      </c>
      <c r="D130" s="73">
        <f>D129*19%</f>
        <v>0</v>
      </c>
    </row>
    <row r="131" spans="1:4" x14ac:dyDescent="0.25">
      <c r="A131" s="274" t="s">
        <v>293</v>
      </c>
      <c r="B131" s="274"/>
      <c r="C131" s="73">
        <f>C129+C130</f>
        <v>0</v>
      </c>
      <c r="D131" s="73">
        <f>D129+D130</f>
        <v>0</v>
      </c>
    </row>
  </sheetData>
  <mergeCells count="12">
    <mergeCell ref="A10:A11"/>
    <mergeCell ref="B10:B11"/>
    <mergeCell ref="A129:B129"/>
    <mergeCell ref="A130:B130"/>
    <mergeCell ref="A131:B131"/>
    <mergeCell ref="A9:B9"/>
    <mergeCell ref="A1:B1"/>
    <mergeCell ref="A2:B2"/>
    <mergeCell ref="A3:D3"/>
    <mergeCell ref="A4:D4"/>
    <mergeCell ref="B6:D6"/>
    <mergeCell ref="C9:D9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B18-38B2-472B-AF47-1BBC745DC3DF}">
  <dimension ref="A1:H134"/>
  <sheetViews>
    <sheetView topLeftCell="A122" zoomScale="130" zoomScaleNormal="130" zoomScaleSheetLayoutView="100" workbookViewId="0">
      <selection activeCell="C125" sqref="C125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0.09765625" style="67" customWidth="1"/>
    <col min="6" max="6" width="8.69921875" style="67"/>
    <col min="7" max="7" width="11.3984375" style="67" customWidth="1"/>
    <col min="8" max="8" width="9.5" style="67" bestFit="1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DG!D79</f>
        <v>Statia 110/6 kV Roman IMR, jud. NT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C14+C15+C40+C43</f>
        <v>0</v>
      </c>
      <c r="D13" s="102">
        <f>D14+D15+D40+D43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SUM(C17:C39)</f>
        <v>0</v>
      </c>
      <c r="D15" s="68">
        <f>SUM(D17:D39)</f>
        <v>0</v>
      </c>
    </row>
    <row r="16" spans="1:5" x14ac:dyDescent="0.25">
      <c r="A16" s="109" t="s">
        <v>31</v>
      </c>
      <c r="B16" s="70" t="str">
        <f>DG!D20</f>
        <v>Statia 110/6 kV Roman IMR, jud. NT</v>
      </c>
      <c r="C16" s="66"/>
      <c r="D16" s="66"/>
    </row>
    <row r="17" spans="1:8" x14ac:dyDescent="0.25">
      <c r="A17" s="165" t="s">
        <v>455</v>
      </c>
      <c r="B17" s="147" t="s">
        <v>874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C17+C18+C19+C20+C21+C24+C25+C29+C31</f>
        <v>0</v>
      </c>
    </row>
    <row r="18" spans="1:8" ht="11.1" customHeight="1" x14ac:dyDescent="0.25">
      <c r="A18" s="165" t="s">
        <v>456</v>
      </c>
      <c r="B18" s="147" t="s">
        <v>875</v>
      </c>
      <c r="C18" s="148">
        <v>0</v>
      </c>
      <c r="D18" s="149">
        <f t="shared" ref="D18:D26" si="0">C18</f>
        <v>0</v>
      </c>
      <c r="E18" s="137" t="s">
        <v>677</v>
      </c>
      <c r="G18" s="138" t="s">
        <v>678</v>
      </c>
      <c r="H18" s="164">
        <f>C30+SUM(C36:C39)</f>
        <v>0</v>
      </c>
    </row>
    <row r="19" spans="1:8" ht="11.1" customHeight="1" x14ac:dyDescent="0.25">
      <c r="A19" s="165" t="s">
        <v>457</v>
      </c>
      <c r="B19" s="147" t="s">
        <v>876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C23+SUM(C26:C28)+SUM(C32:C34)</f>
        <v>0</v>
      </c>
    </row>
    <row r="20" spans="1:8" ht="11.1" customHeight="1" x14ac:dyDescent="0.25">
      <c r="A20" s="165" t="s">
        <v>458</v>
      </c>
      <c r="B20" s="147" t="s">
        <v>877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64">
        <f>C22+C35</f>
        <v>0</v>
      </c>
    </row>
    <row r="21" spans="1:8" ht="11.1" customHeight="1" x14ac:dyDescent="0.25">
      <c r="A21" s="165" t="s">
        <v>459</v>
      </c>
      <c r="B21" s="147" t="s">
        <v>878</v>
      </c>
      <c r="C21" s="148">
        <v>0</v>
      </c>
      <c r="D21" s="149">
        <f t="shared" si="0"/>
        <v>0</v>
      </c>
      <c r="E21" s="137" t="s">
        <v>677</v>
      </c>
    </row>
    <row r="22" spans="1:8" ht="11.1" customHeight="1" x14ac:dyDescent="0.25">
      <c r="A22" s="186" t="s">
        <v>460</v>
      </c>
      <c r="B22" s="191" t="s">
        <v>879</v>
      </c>
      <c r="C22" s="188">
        <v>0</v>
      </c>
      <c r="D22" s="189">
        <f t="shared" si="0"/>
        <v>0</v>
      </c>
      <c r="E22" s="140" t="s">
        <v>680</v>
      </c>
      <c r="H22" s="169">
        <f>C15-H17-H18-H19-H20</f>
        <v>0</v>
      </c>
    </row>
    <row r="23" spans="1:8" ht="11.1" customHeight="1" x14ac:dyDescent="0.25">
      <c r="A23" s="167" t="s">
        <v>461</v>
      </c>
      <c r="B23" s="155" t="s">
        <v>880</v>
      </c>
      <c r="C23" s="156">
        <v>0</v>
      </c>
      <c r="D23" s="157">
        <f t="shared" si="0"/>
        <v>0</v>
      </c>
      <c r="E23" s="139" t="s">
        <v>679</v>
      </c>
    </row>
    <row r="24" spans="1:8" ht="11.1" customHeight="1" x14ac:dyDescent="0.25">
      <c r="A24" s="165" t="s">
        <v>462</v>
      </c>
      <c r="B24" s="147" t="s">
        <v>881</v>
      </c>
      <c r="C24" s="148">
        <v>0</v>
      </c>
      <c r="D24" s="149">
        <f t="shared" si="0"/>
        <v>0</v>
      </c>
      <c r="E24" s="137" t="s">
        <v>677</v>
      </c>
    </row>
    <row r="25" spans="1:8" ht="11.1" customHeight="1" x14ac:dyDescent="0.25">
      <c r="A25" s="165" t="s">
        <v>463</v>
      </c>
      <c r="B25" s="147" t="s">
        <v>882</v>
      </c>
      <c r="C25" s="148">
        <v>0</v>
      </c>
      <c r="D25" s="149">
        <f t="shared" si="0"/>
        <v>0</v>
      </c>
      <c r="E25" s="137" t="s">
        <v>677</v>
      </c>
    </row>
    <row r="26" spans="1:8" ht="11.1" customHeight="1" x14ac:dyDescent="0.25">
      <c r="A26" s="167" t="s">
        <v>464</v>
      </c>
      <c r="B26" s="155" t="s">
        <v>883</v>
      </c>
      <c r="C26" s="156">
        <v>0</v>
      </c>
      <c r="D26" s="157">
        <f t="shared" si="0"/>
        <v>0</v>
      </c>
      <c r="E26" s="139" t="s">
        <v>679</v>
      </c>
    </row>
    <row r="27" spans="1:8" ht="11.1" customHeight="1" x14ac:dyDescent="0.25">
      <c r="A27" s="167" t="s">
        <v>465</v>
      </c>
      <c r="B27" s="155" t="s">
        <v>884</v>
      </c>
      <c r="C27" s="156">
        <v>0</v>
      </c>
      <c r="D27" s="157">
        <f t="shared" ref="D27:D40" si="1">C27</f>
        <v>0</v>
      </c>
      <c r="E27" s="139" t="s">
        <v>679</v>
      </c>
    </row>
    <row r="28" spans="1:8" ht="11.1" customHeight="1" x14ac:dyDescent="0.25">
      <c r="A28" s="154" t="s">
        <v>1785</v>
      </c>
      <c r="B28" s="155" t="s">
        <v>886</v>
      </c>
      <c r="C28" s="156">
        <v>0</v>
      </c>
      <c r="D28" s="157">
        <f t="shared" si="1"/>
        <v>0</v>
      </c>
      <c r="E28" s="139" t="s">
        <v>679</v>
      </c>
    </row>
    <row r="29" spans="1:8" ht="11.1" customHeight="1" x14ac:dyDescent="0.25">
      <c r="A29" s="146" t="s">
        <v>1786</v>
      </c>
      <c r="B29" s="147" t="s">
        <v>887</v>
      </c>
      <c r="C29" s="148">
        <v>0</v>
      </c>
      <c r="D29" s="149">
        <f t="shared" si="1"/>
        <v>0</v>
      </c>
      <c r="E29" s="137" t="s">
        <v>677</v>
      </c>
    </row>
    <row r="30" spans="1:8" ht="11.1" customHeight="1" x14ac:dyDescent="0.25">
      <c r="A30" s="150" t="s">
        <v>1787</v>
      </c>
      <c r="B30" s="151" t="s">
        <v>888</v>
      </c>
      <c r="C30" s="152">
        <v>0</v>
      </c>
      <c r="D30" s="153">
        <f t="shared" si="1"/>
        <v>0</v>
      </c>
      <c r="E30" s="138" t="s">
        <v>678</v>
      </c>
    </row>
    <row r="31" spans="1:8" ht="11.1" customHeight="1" x14ac:dyDescent="0.25">
      <c r="A31" s="146" t="s">
        <v>1788</v>
      </c>
      <c r="B31" s="147" t="s">
        <v>889</v>
      </c>
      <c r="C31" s="148">
        <v>0</v>
      </c>
      <c r="D31" s="149">
        <f t="shared" si="1"/>
        <v>0</v>
      </c>
      <c r="E31" s="137" t="s">
        <v>677</v>
      </c>
    </row>
    <row r="32" spans="1:8" ht="11.1" customHeight="1" x14ac:dyDescent="0.25">
      <c r="A32" s="154" t="s">
        <v>1789</v>
      </c>
      <c r="B32" s="155" t="s">
        <v>890</v>
      </c>
      <c r="C32" s="156">
        <v>0</v>
      </c>
      <c r="D32" s="157">
        <f t="shared" si="1"/>
        <v>0</v>
      </c>
      <c r="E32" s="139" t="s">
        <v>679</v>
      </c>
    </row>
    <row r="33" spans="1:5" ht="11.1" customHeight="1" x14ac:dyDescent="0.25">
      <c r="A33" s="154" t="s">
        <v>1790</v>
      </c>
      <c r="B33" s="155" t="s">
        <v>891</v>
      </c>
      <c r="C33" s="156">
        <v>0</v>
      </c>
      <c r="D33" s="157">
        <f t="shared" si="1"/>
        <v>0</v>
      </c>
      <c r="E33" s="139" t="s">
        <v>679</v>
      </c>
    </row>
    <row r="34" spans="1:5" ht="11.1" customHeight="1" x14ac:dyDescent="0.25">
      <c r="A34" s="154" t="s">
        <v>1791</v>
      </c>
      <c r="B34" s="178" t="s">
        <v>892</v>
      </c>
      <c r="C34" s="156">
        <v>0</v>
      </c>
      <c r="D34" s="157">
        <f t="shared" si="1"/>
        <v>0</v>
      </c>
      <c r="E34" s="139" t="s">
        <v>679</v>
      </c>
    </row>
    <row r="35" spans="1:5" ht="11.1" customHeight="1" x14ac:dyDescent="0.25">
      <c r="A35" s="190" t="s">
        <v>1792</v>
      </c>
      <c r="B35" s="204" t="s">
        <v>893</v>
      </c>
      <c r="C35" s="188">
        <v>0</v>
      </c>
      <c r="D35" s="189">
        <f t="shared" si="1"/>
        <v>0</v>
      </c>
      <c r="E35" s="140" t="s">
        <v>680</v>
      </c>
    </row>
    <row r="36" spans="1:5" ht="11.1" customHeight="1" x14ac:dyDescent="0.25">
      <c r="A36" s="150" t="s">
        <v>1793</v>
      </c>
      <c r="B36" s="176" t="s">
        <v>894</v>
      </c>
      <c r="C36" s="152">
        <v>0</v>
      </c>
      <c r="D36" s="153">
        <f t="shared" si="1"/>
        <v>0</v>
      </c>
      <c r="E36" s="138" t="s">
        <v>678</v>
      </c>
    </row>
    <row r="37" spans="1:5" ht="11.1" customHeight="1" x14ac:dyDescent="0.25">
      <c r="A37" s="150" t="s">
        <v>1794</v>
      </c>
      <c r="B37" s="176" t="s">
        <v>895</v>
      </c>
      <c r="C37" s="152">
        <v>0</v>
      </c>
      <c r="D37" s="153">
        <f t="shared" si="1"/>
        <v>0</v>
      </c>
      <c r="E37" s="138" t="s">
        <v>678</v>
      </c>
    </row>
    <row r="38" spans="1:5" ht="11.1" customHeight="1" x14ac:dyDescent="0.25">
      <c r="A38" s="150" t="s">
        <v>1795</v>
      </c>
      <c r="B38" s="176" t="s">
        <v>896</v>
      </c>
      <c r="C38" s="152">
        <v>0</v>
      </c>
      <c r="D38" s="153">
        <f t="shared" si="1"/>
        <v>0</v>
      </c>
      <c r="E38" s="138" t="s">
        <v>678</v>
      </c>
    </row>
    <row r="39" spans="1:5" ht="11.1" customHeight="1" x14ac:dyDescent="0.25">
      <c r="A39" s="150" t="s">
        <v>1796</v>
      </c>
      <c r="B39" s="176" t="s">
        <v>897</v>
      </c>
      <c r="C39" s="152">
        <v>0</v>
      </c>
      <c r="D39" s="153">
        <f t="shared" si="1"/>
        <v>0</v>
      </c>
      <c r="E39" s="138" t="s">
        <v>678</v>
      </c>
    </row>
    <row r="40" spans="1:5" x14ac:dyDescent="0.25">
      <c r="A40" s="94" t="s">
        <v>39</v>
      </c>
      <c r="B40" s="95" t="s">
        <v>185</v>
      </c>
      <c r="C40" s="96">
        <f>C42</f>
        <v>0</v>
      </c>
      <c r="D40" s="97">
        <f t="shared" si="1"/>
        <v>0</v>
      </c>
    </row>
    <row r="41" spans="1:5" ht="11.1" customHeight="1" x14ac:dyDescent="0.25">
      <c r="A41" s="109" t="s">
        <v>44</v>
      </c>
      <c r="B41" s="75" t="str">
        <f>DG!D33</f>
        <v>Statia 110/6 kV Roman IMR, jud. NT</v>
      </c>
      <c r="C41" s="89"/>
      <c r="D41" s="66"/>
    </row>
    <row r="42" spans="1:5" s="76" customFormat="1" ht="11.1" customHeight="1" x14ac:dyDescent="0.25">
      <c r="A42" s="69" t="s">
        <v>885</v>
      </c>
      <c r="B42" s="123" t="s">
        <v>352</v>
      </c>
      <c r="C42" s="118">
        <v>0</v>
      </c>
      <c r="D42" s="66">
        <f>C42</f>
        <v>0</v>
      </c>
    </row>
    <row r="43" spans="1:5" ht="11.1" customHeight="1" x14ac:dyDescent="0.25">
      <c r="A43" s="94" t="s">
        <v>187</v>
      </c>
      <c r="B43" s="98" t="s">
        <v>48</v>
      </c>
      <c r="C43" s="96">
        <v>0</v>
      </c>
      <c r="D43" s="71">
        <v>0</v>
      </c>
    </row>
    <row r="44" spans="1:5" x14ac:dyDescent="0.25">
      <c r="A44" s="103" t="s">
        <v>188</v>
      </c>
      <c r="B44" s="104" t="s">
        <v>189</v>
      </c>
      <c r="C44" s="105">
        <v>0</v>
      </c>
      <c r="D44" s="102">
        <v>0</v>
      </c>
    </row>
    <row r="45" spans="1:5" x14ac:dyDescent="0.25">
      <c r="A45" s="103" t="s">
        <v>190</v>
      </c>
      <c r="B45" s="104" t="s">
        <v>69</v>
      </c>
      <c r="C45" s="106">
        <f>SUM(C46:C51)</f>
        <v>0</v>
      </c>
      <c r="D45" s="106">
        <f>SUM(D46:D51)</f>
        <v>0</v>
      </c>
    </row>
    <row r="46" spans="1:5" ht="12" customHeight="1" x14ac:dyDescent="0.25">
      <c r="A46" s="74" t="s">
        <v>191</v>
      </c>
      <c r="B46" s="72" t="s">
        <v>192</v>
      </c>
      <c r="C46" s="73">
        <v>0</v>
      </c>
      <c r="D46" s="73">
        <v>0</v>
      </c>
    </row>
    <row r="47" spans="1:5" x14ac:dyDescent="0.25">
      <c r="A47" s="74" t="s">
        <v>193</v>
      </c>
      <c r="B47" s="72" t="s">
        <v>194</v>
      </c>
      <c r="C47" s="73">
        <v>0</v>
      </c>
      <c r="D47" s="73">
        <v>0</v>
      </c>
    </row>
    <row r="48" spans="1:5" ht="22.8" x14ac:dyDescent="0.25">
      <c r="A48" s="74" t="s">
        <v>195</v>
      </c>
      <c r="B48" s="83" t="s">
        <v>196</v>
      </c>
      <c r="C48" s="73">
        <v>0</v>
      </c>
      <c r="D48" s="73">
        <v>0</v>
      </c>
    </row>
    <row r="49" spans="1:8" ht="12" customHeight="1" x14ac:dyDescent="0.25">
      <c r="A49" s="74" t="s">
        <v>197</v>
      </c>
      <c r="B49" s="83" t="s">
        <v>198</v>
      </c>
      <c r="C49" s="73">
        <v>0</v>
      </c>
      <c r="D49" s="73">
        <v>0</v>
      </c>
    </row>
    <row r="50" spans="1:8" ht="12" customHeight="1" x14ac:dyDescent="0.25">
      <c r="A50" s="74" t="s">
        <v>199</v>
      </c>
      <c r="B50" s="83" t="s">
        <v>200</v>
      </c>
      <c r="C50" s="73">
        <v>0</v>
      </c>
      <c r="D50" s="73">
        <v>0</v>
      </c>
    </row>
    <row r="51" spans="1:8" x14ac:dyDescent="0.25">
      <c r="A51" s="74" t="s">
        <v>201</v>
      </c>
      <c r="B51" s="72" t="s">
        <v>202</v>
      </c>
      <c r="C51" s="73">
        <v>0</v>
      </c>
      <c r="D51" s="73">
        <v>0</v>
      </c>
    </row>
    <row r="52" spans="1:8" ht="10.199999999999999" customHeight="1" x14ac:dyDescent="0.25">
      <c r="A52" s="103" t="s">
        <v>203</v>
      </c>
      <c r="B52" s="104" t="s">
        <v>204</v>
      </c>
      <c r="C52" s="105">
        <f>C53+C98+C112</f>
        <v>0</v>
      </c>
      <c r="D52" s="105">
        <f>D53+D98+D112</f>
        <v>0</v>
      </c>
    </row>
    <row r="53" spans="1:8" x14ac:dyDescent="0.25">
      <c r="A53" s="94" t="s">
        <v>92</v>
      </c>
      <c r="B53" s="99" t="s">
        <v>157</v>
      </c>
      <c r="C53" s="68">
        <f>SUM(C55:C97)</f>
        <v>0</v>
      </c>
      <c r="D53" s="68">
        <f>SUM(D55:D97)</f>
        <v>0</v>
      </c>
    </row>
    <row r="54" spans="1:8" x14ac:dyDescent="0.25">
      <c r="A54" s="87" t="s">
        <v>97</v>
      </c>
      <c r="B54" s="79" t="str">
        <f>DG!D79</f>
        <v>Statia 110/6 kV Roman IMR, jud. NT</v>
      </c>
      <c r="C54" s="80"/>
      <c r="D54" s="90"/>
    </row>
    <row r="55" spans="1:8" x14ac:dyDescent="0.25">
      <c r="A55" s="154" t="s">
        <v>467</v>
      </c>
      <c r="B55" s="178" t="s">
        <v>898</v>
      </c>
      <c r="C55" s="156">
        <v>0</v>
      </c>
      <c r="D55" s="157">
        <f t="shared" ref="D55:D97" si="2">C55</f>
        <v>0</v>
      </c>
      <c r="E55" s="139" t="s">
        <v>679</v>
      </c>
      <c r="G55" s="137" t="s">
        <v>677</v>
      </c>
      <c r="H55" s="133">
        <f>C56+C57+C58+C59+C60+C61+C62+C65+C68+C69+C76</f>
        <v>0</v>
      </c>
    </row>
    <row r="56" spans="1:8" x14ac:dyDescent="0.25">
      <c r="A56" s="146" t="s">
        <v>468</v>
      </c>
      <c r="B56" s="177" t="s">
        <v>384</v>
      </c>
      <c r="C56" s="148">
        <v>0</v>
      </c>
      <c r="D56" s="149">
        <f t="shared" si="2"/>
        <v>0</v>
      </c>
      <c r="E56" s="137" t="s">
        <v>677</v>
      </c>
      <c r="G56" s="138" t="s">
        <v>678</v>
      </c>
      <c r="H56" s="133">
        <f>C77+C81+C84+C86+C87+C93+C94</f>
        <v>0</v>
      </c>
    </row>
    <row r="57" spans="1:8" x14ac:dyDescent="0.25">
      <c r="A57" s="146" t="s">
        <v>469</v>
      </c>
      <c r="B57" s="177" t="s">
        <v>899</v>
      </c>
      <c r="C57" s="148">
        <v>0</v>
      </c>
      <c r="D57" s="149">
        <f t="shared" si="2"/>
        <v>0</v>
      </c>
      <c r="E57" s="137" t="s">
        <v>677</v>
      </c>
      <c r="G57" s="139" t="s">
        <v>679</v>
      </c>
      <c r="H57" s="133">
        <f>C55+C63+C64+C67+C78+C79+C80+C82+C85</f>
        <v>0</v>
      </c>
    </row>
    <row r="58" spans="1:8" x14ac:dyDescent="0.25">
      <c r="A58" s="146" t="s">
        <v>470</v>
      </c>
      <c r="B58" s="177" t="s">
        <v>314</v>
      </c>
      <c r="C58" s="148">
        <v>0</v>
      </c>
      <c r="D58" s="149">
        <f t="shared" si="2"/>
        <v>0</v>
      </c>
      <c r="E58" s="137" t="s">
        <v>677</v>
      </c>
      <c r="G58" s="140" t="s">
        <v>680</v>
      </c>
      <c r="H58" s="133">
        <f>C66+C70+C71+C72+C73+C74+C75+C83+C88+C89+C90+C91+C92+C95+C97</f>
        <v>0</v>
      </c>
    </row>
    <row r="59" spans="1:8" x14ac:dyDescent="0.25">
      <c r="A59" s="146" t="s">
        <v>471</v>
      </c>
      <c r="B59" s="177" t="s">
        <v>900</v>
      </c>
      <c r="C59" s="148">
        <v>0</v>
      </c>
      <c r="D59" s="149">
        <f t="shared" si="2"/>
        <v>0</v>
      </c>
      <c r="E59" s="137" t="s">
        <v>677</v>
      </c>
      <c r="G59" s="141" t="s">
        <v>681</v>
      </c>
      <c r="H59" s="133">
        <f>C96</f>
        <v>0</v>
      </c>
    </row>
    <row r="60" spans="1:8" x14ac:dyDescent="0.25">
      <c r="A60" s="146" t="s">
        <v>472</v>
      </c>
      <c r="B60" s="177" t="s">
        <v>901</v>
      </c>
      <c r="C60" s="148">
        <v>0</v>
      </c>
      <c r="D60" s="149">
        <f t="shared" si="2"/>
        <v>0</v>
      </c>
      <c r="E60" s="137" t="s">
        <v>677</v>
      </c>
    </row>
    <row r="61" spans="1:8" x14ac:dyDescent="0.25">
      <c r="A61" s="146" t="s">
        <v>473</v>
      </c>
      <c r="B61" s="177" t="s">
        <v>392</v>
      </c>
      <c r="C61" s="148">
        <v>0</v>
      </c>
      <c r="D61" s="149">
        <f t="shared" si="2"/>
        <v>0</v>
      </c>
      <c r="E61" s="137" t="s">
        <v>677</v>
      </c>
      <c r="H61" s="169">
        <f>C53-H55-H56-H57-H58-H59</f>
        <v>0</v>
      </c>
    </row>
    <row r="62" spans="1:8" x14ac:dyDescent="0.25">
      <c r="A62" s="146" t="s">
        <v>474</v>
      </c>
      <c r="B62" s="177" t="s">
        <v>394</v>
      </c>
      <c r="C62" s="148">
        <v>0</v>
      </c>
      <c r="D62" s="149">
        <f t="shared" si="2"/>
        <v>0</v>
      </c>
      <c r="E62" s="137" t="s">
        <v>677</v>
      </c>
    </row>
    <row r="63" spans="1:8" x14ac:dyDescent="0.25">
      <c r="A63" s="154" t="s">
        <v>475</v>
      </c>
      <c r="B63" s="178" t="s">
        <v>902</v>
      </c>
      <c r="C63" s="156">
        <v>0</v>
      </c>
      <c r="D63" s="157">
        <f t="shared" si="2"/>
        <v>0</v>
      </c>
      <c r="E63" s="139" t="s">
        <v>679</v>
      </c>
    </row>
    <row r="64" spans="1:8" x14ac:dyDescent="0.25">
      <c r="A64" s="154" t="s">
        <v>476</v>
      </c>
      <c r="B64" s="178" t="s">
        <v>903</v>
      </c>
      <c r="C64" s="156">
        <v>0</v>
      </c>
      <c r="D64" s="157">
        <f t="shared" si="2"/>
        <v>0</v>
      </c>
      <c r="E64" s="139" t="s">
        <v>679</v>
      </c>
    </row>
    <row r="65" spans="1:5" x14ac:dyDescent="0.25">
      <c r="A65" s="146" t="s">
        <v>477</v>
      </c>
      <c r="B65" s="177" t="s">
        <v>904</v>
      </c>
      <c r="C65" s="148">
        <v>0</v>
      </c>
      <c r="D65" s="149">
        <f t="shared" si="2"/>
        <v>0</v>
      </c>
      <c r="E65" s="137" t="s">
        <v>677</v>
      </c>
    </row>
    <row r="66" spans="1:5" x14ac:dyDescent="0.25">
      <c r="A66" s="190" t="s">
        <v>478</v>
      </c>
      <c r="B66" s="204" t="s">
        <v>428</v>
      </c>
      <c r="C66" s="188">
        <v>0</v>
      </c>
      <c r="D66" s="189">
        <f t="shared" si="2"/>
        <v>0</v>
      </c>
      <c r="E66" s="140" t="s">
        <v>680</v>
      </c>
    </row>
    <row r="67" spans="1:5" x14ac:dyDescent="0.25">
      <c r="A67" s="154" t="s">
        <v>479</v>
      </c>
      <c r="B67" s="178" t="s">
        <v>398</v>
      </c>
      <c r="C67" s="156">
        <v>0</v>
      </c>
      <c r="D67" s="157">
        <f t="shared" si="2"/>
        <v>0</v>
      </c>
      <c r="E67" s="139" t="s">
        <v>679</v>
      </c>
    </row>
    <row r="68" spans="1:5" x14ac:dyDescent="0.25">
      <c r="A68" s="146" t="s">
        <v>480</v>
      </c>
      <c r="B68" s="177" t="s">
        <v>905</v>
      </c>
      <c r="C68" s="148">
        <v>0</v>
      </c>
      <c r="D68" s="149">
        <f t="shared" si="2"/>
        <v>0</v>
      </c>
      <c r="E68" s="137" t="s">
        <v>677</v>
      </c>
    </row>
    <row r="69" spans="1:5" x14ac:dyDescent="0.25">
      <c r="A69" s="146" t="s">
        <v>481</v>
      </c>
      <c r="B69" s="177" t="s">
        <v>906</v>
      </c>
      <c r="C69" s="148">
        <v>0</v>
      </c>
      <c r="D69" s="149">
        <f t="shared" si="2"/>
        <v>0</v>
      </c>
      <c r="E69" s="137" t="s">
        <v>677</v>
      </c>
    </row>
    <row r="70" spans="1:5" x14ac:dyDescent="0.25">
      <c r="A70" s="190" t="s">
        <v>482</v>
      </c>
      <c r="B70" s="204" t="s">
        <v>907</v>
      </c>
      <c r="C70" s="188">
        <v>0</v>
      </c>
      <c r="D70" s="189">
        <f t="shared" si="2"/>
        <v>0</v>
      </c>
      <c r="E70" s="140" t="s">
        <v>680</v>
      </c>
    </row>
    <row r="71" spans="1:5" x14ac:dyDescent="0.25">
      <c r="A71" s="190" t="s">
        <v>483</v>
      </c>
      <c r="B71" s="204" t="s">
        <v>908</v>
      </c>
      <c r="C71" s="188">
        <v>0</v>
      </c>
      <c r="D71" s="189">
        <f t="shared" si="2"/>
        <v>0</v>
      </c>
      <c r="E71" s="140" t="s">
        <v>680</v>
      </c>
    </row>
    <row r="72" spans="1:5" x14ac:dyDescent="0.25">
      <c r="A72" s="190" t="s">
        <v>484</v>
      </c>
      <c r="B72" s="204" t="s">
        <v>430</v>
      </c>
      <c r="C72" s="188">
        <v>0</v>
      </c>
      <c r="D72" s="189">
        <f t="shared" si="2"/>
        <v>0</v>
      </c>
      <c r="E72" s="140" t="s">
        <v>680</v>
      </c>
    </row>
    <row r="73" spans="1:5" x14ac:dyDescent="0.25">
      <c r="A73" s="190" t="s">
        <v>485</v>
      </c>
      <c r="B73" s="204" t="s">
        <v>909</v>
      </c>
      <c r="C73" s="188">
        <v>0</v>
      </c>
      <c r="D73" s="189">
        <f t="shared" si="2"/>
        <v>0</v>
      </c>
      <c r="E73" s="140" t="s">
        <v>680</v>
      </c>
    </row>
    <row r="74" spans="1:5" x14ac:dyDescent="0.25">
      <c r="A74" s="190" t="s">
        <v>486</v>
      </c>
      <c r="B74" s="204" t="s">
        <v>910</v>
      </c>
      <c r="C74" s="188">
        <v>0</v>
      </c>
      <c r="D74" s="189">
        <f t="shared" si="2"/>
        <v>0</v>
      </c>
      <c r="E74" s="140" t="s">
        <v>680</v>
      </c>
    </row>
    <row r="75" spans="1:5" x14ac:dyDescent="0.25">
      <c r="A75" s="190" t="s">
        <v>487</v>
      </c>
      <c r="B75" s="204" t="s">
        <v>911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46" t="s">
        <v>488</v>
      </c>
      <c r="B76" s="177" t="s">
        <v>912</v>
      </c>
      <c r="C76" s="148">
        <v>0</v>
      </c>
      <c r="D76" s="149">
        <f t="shared" si="2"/>
        <v>0</v>
      </c>
      <c r="E76" s="137" t="s">
        <v>677</v>
      </c>
    </row>
    <row r="77" spans="1:5" x14ac:dyDescent="0.25">
      <c r="A77" s="150" t="s">
        <v>489</v>
      </c>
      <c r="B77" s="176" t="s">
        <v>913</v>
      </c>
      <c r="C77" s="152">
        <v>0</v>
      </c>
      <c r="D77" s="153">
        <f t="shared" si="2"/>
        <v>0</v>
      </c>
      <c r="E77" s="138" t="s">
        <v>678</v>
      </c>
    </row>
    <row r="78" spans="1:5" x14ac:dyDescent="0.25">
      <c r="A78" s="154" t="s">
        <v>490</v>
      </c>
      <c r="B78" s="178" t="s">
        <v>914</v>
      </c>
      <c r="C78" s="156">
        <v>0</v>
      </c>
      <c r="D78" s="157">
        <f t="shared" si="2"/>
        <v>0</v>
      </c>
      <c r="E78" s="139" t="s">
        <v>679</v>
      </c>
    </row>
    <row r="79" spans="1:5" x14ac:dyDescent="0.25">
      <c r="A79" s="154" t="s">
        <v>491</v>
      </c>
      <c r="B79" s="178" t="s">
        <v>413</v>
      </c>
      <c r="C79" s="156">
        <v>0</v>
      </c>
      <c r="D79" s="157">
        <f t="shared" si="2"/>
        <v>0</v>
      </c>
      <c r="E79" s="139" t="s">
        <v>679</v>
      </c>
    </row>
    <row r="80" spans="1:5" x14ac:dyDescent="0.25">
      <c r="A80" s="154" t="s">
        <v>492</v>
      </c>
      <c r="B80" s="178" t="s">
        <v>415</v>
      </c>
      <c r="C80" s="156">
        <v>0</v>
      </c>
      <c r="D80" s="157">
        <f t="shared" si="2"/>
        <v>0</v>
      </c>
      <c r="E80" s="139" t="s">
        <v>679</v>
      </c>
    </row>
    <row r="81" spans="1:6" x14ac:dyDescent="0.25">
      <c r="A81" s="150" t="s">
        <v>493</v>
      </c>
      <c r="B81" s="176" t="s">
        <v>915</v>
      </c>
      <c r="C81" s="152">
        <v>0</v>
      </c>
      <c r="D81" s="153">
        <f t="shared" si="2"/>
        <v>0</v>
      </c>
      <c r="E81" s="138" t="s">
        <v>678</v>
      </c>
    </row>
    <row r="82" spans="1:6" x14ac:dyDescent="0.25">
      <c r="A82" s="154" t="s">
        <v>494</v>
      </c>
      <c r="B82" s="178" t="s">
        <v>420</v>
      </c>
      <c r="C82" s="156">
        <v>0</v>
      </c>
      <c r="D82" s="157">
        <f t="shared" si="2"/>
        <v>0</v>
      </c>
      <c r="E82" s="139" t="s">
        <v>679</v>
      </c>
    </row>
    <row r="83" spans="1:6" x14ac:dyDescent="0.25">
      <c r="A83" s="190" t="s">
        <v>495</v>
      </c>
      <c r="B83" s="204" t="s">
        <v>422</v>
      </c>
      <c r="C83" s="188">
        <v>0</v>
      </c>
      <c r="D83" s="189">
        <f t="shared" si="2"/>
        <v>0</v>
      </c>
      <c r="E83" s="140" t="s">
        <v>680</v>
      </c>
    </row>
    <row r="84" spans="1:6" x14ac:dyDescent="0.25">
      <c r="A84" s="150" t="s">
        <v>496</v>
      </c>
      <c r="B84" s="176" t="s">
        <v>916</v>
      </c>
      <c r="C84" s="152">
        <v>0</v>
      </c>
      <c r="D84" s="153">
        <f t="shared" si="2"/>
        <v>0</v>
      </c>
      <c r="E84" s="138" t="s">
        <v>678</v>
      </c>
    </row>
    <row r="85" spans="1:6" x14ac:dyDescent="0.25">
      <c r="A85" s="154" t="s">
        <v>497</v>
      </c>
      <c r="B85" s="178" t="s">
        <v>423</v>
      </c>
      <c r="C85" s="156">
        <v>0</v>
      </c>
      <c r="D85" s="157">
        <f t="shared" si="2"/>
        <v>0</v>
      </c>
      <c r="E85" s="139" t="s">
        <v>679</v>
      </c>
    </row>
    <row r="86" spans="1:6" x14ac:dyDescent="0.25">
      <c r="A86" s="150" t="s">
        <v>498</v>
      </c>
      <c r="B86" s="176" t="s">
        <v>917</v>
      </c>
      <c r="C86" s="152">
        <v>0</v>
      </c>
      <c r="D86" s="153">
        <f t="shared" si="2"/>
        <v>0</v>
      </c>
      <c r="E86" s="138" t="s">
        <v>678</v>
      </c>
    </row>
    <row r="87" spans="1:6" x14ac:dyDescent="0.25">
      <c r="A87" s="150" t="s">
        <v>499</v>
      </c>
      <c r="B87" s="176" t="s">
        <v>918</v>
      </c>
      <c r="C87" s="152">
        <v>0</v>
      </c>
      <c r="D87" s="153">
        <f t="shared" si="2"/>
        <v>0</v>
      </c>
      <c r="E87" s="138" t="s">
        <v>678</v>
      </c>
    </row>
    <row r="88" spans="1:6" x14ac:dyDescent="0.25">
      <c r="A88" s="190" t="s">
        <v>500</v>
      </c>
      <c r="B88" s="204" t="s">
        <v>919</v>
      </c>
      <c r="C88" s="188">
        <v>0</v>
      </c>
      <c r="D88" s="189">
        <f t="shared" si="2"/>
        <v>0</v>
      </c>
      <c r="E88" s="140" t="s">
        <v>680</v>
      </c>
    </row>
    <row r="89" spans="1:6" ht="12" customHeight="1" x14ac:dyDescent="0.25">
      <c r="A89" s="190" t="s">
        <v>501</v>
      </c>
      <c r="B89" s="204" t="s">
        <v>920</v>
      </c>
      <c r="C89" s="188">
        <v>0</v>
      </c>
      <c r="D89" s="189">
        <f t="shared" si="2"/>
        <v>0</v>
      </c>
      <c r="E89" s="140" t="s">
        <v>680</v>
      </c>
    </row>
    <row r="90" spans="1:6" ht="12" customHeight="1" x14ac:dyDescent="0.25">
      <c r="A90" s="190" t="s">
        <v>502</v>
      </c>
      <c r="B90" s="204" t="s">
        <v>320</v>
      </c>
      <c r="C90" s="188">
        <v>0</v>
      </c>
      <c r="D90" s="189">
        <f t="shared" si="2"/>
        <v>0</v>
      </c>
      <c r="E90" s="140" t="s">
        <v>680</v>
      </c>
    </row>
    <row r="91" spans="1:6" x14ac:dyDescent="0.25">
      <c r="A91" s="190" t="s">
        <v>503</v>
      </c>
      <c r="B91" s="204" t="s">
        <v>437</v>
      </c>
      <c r="C91" s="188">
        <v>0</v>
      </c>
      <c r="D91" s="189">
        <f t="shared" si="2"/>
        <v>0</v>
      </c>
      <c r="E91" s="140" t="s">
        <v>680</v>
      </c>
    </row>
    <row r="92" spans="1:6" x14ac:dyDescent="0.25">
      <c r="A92" s="190" t="s">
        <v>504</v>
      </c>
      <c r="B92" s="204" t="s">
        <v>438</v>
      </c>
      <c r="C92" s="188">
        <v>0</v>
      </c>
      <c r="D92" s="189">
        <f t="shared" si="2"/>
        <v>0</v>
      </c>
      <c r="E92" s="140" t="s">
        <v>680</v>
      </c>
    </row>
    <row r="93" spans="1:6" x14ac:dyDescent="0.25">
      <c r="A93" s="150" t="s">
        <v>505</v>
      </c>
      <c r="B93" s="176" t="s">
        <v>439</v>
      </c>
      <c r="C93" s="152">
        <v>0</v>
      </c>
      <c r="D93" s="153">
        <f t="shared" si="2"/>
        <v>0</v>
      </c>
      <c r="E93" s="138" t="s">
        <v>678</v>
      </c>
    </row>
    <row r="94" spans="1:6" x14ac:dyDescent="0.25">
      <c r="A94" s="150" t="s">
        <v>506</v>
      </c>
      <c r="B94" s="176" t="s">
        <v>511</v>
      </c>
      <c r="C94" s="152">
        <v>0</v>
      </c>
      <c r="D94" s="153">
        <f t="shared" si="2"/>
        <v>0</v>
      </c>
      <c r="E94" s="138" t="s">
        <v>678</v>
      </c>
    </row>
    <row r="95" spans="1:6" x14ac:dyDescent="0.25">
      <c r="A95" s="190" t="s">
        <v>507</v>
      </c>
      <c r="B95" s="204" t="s">
        <v>921</v>
      </c>
      <c r="C95" s="188">
        <v>0</v>
      </c>
      <c r="D95" s="189">
        <f t="shared" si="2"/>
        <v>0</v>
      </c>
      <c r="E95" s="140" t="s">
        <v>680</v>
      </c>
      <c r="F95" s="67" t="s">
        <v>163</v>
      </c>
    </row>
    <row r="96" spans="1:6" x14ac:dyDescent="0.25">
      <c r="A96" s="142" t="s">
        <v>508</v>
      </c>
      <c r="B96" s="203" t="s">
        <v>922</v>
      </c>
      <c r="C96" s="144">
        <v>0</v>
      </c>
      <c r="D96" s="145">
        <f t="shared" si="2"/>
        <v>0</v>
      </c>
      <c r="E96" s="141" t="s">
        <v>681</v>
      </c>
      <c r="F96" s="67" t="s">
        <v>158</v>
      </c>
    </row>
    <row r="97" spans="1:8" x14ac:dyDescent="0.25">
      <c r="A97" s="190" t="s">
        <v>509</v>
      </c>
      <c r="B97" s="204" t="s">
        <v>256</v>
      </c>
      <c r="C97" s="188">
        <v>0</v>
      </c>
      <c r="D97" s="189">
        <f t="shared" si="2"/>
        <v>0</v>
      </c>
      <c r="E97" s="140" t="s">
        <v>680</v>
      </c>
    </row>
    <row r="98" spans="1:8" x14ac:dyDescent="0.25">
      <c r="A98" s="94" t="s">
        <v>101</v>
      </c>
      <c r="B98" s="99" t="s">
        <v>261</v>
      </c>
      <c r="C98" s="68">
        <f>SUM(C100:C111)</f>
        <v>0</v>
      </c>
      <c r="D98" s="66">
        <f t="shared" ref="D98:D111" si="3">C98</f>
        <v>0</v>
      </c>
    </row>
    <row r="99" spans="1:8" x14ac:dyDescent="0.25">
      <c r="A99" s="87" t="s">
        <v>106</v>
      </c>
      <c r="B99" s="111" t="str">
        <f>DG!D92</f>
        <v>Statia 110/6 kV Roman IMR, jud. NT</v>
      </c>
      <c r="C99" s="89"/>
      <c r="D99" s="66"/>
    </row>
    <row r="100" spans="1:8" x14ac:dyDescent="0.25">
      <c r="A100" s="160" t="s">
        <v>923</v>
      </c>
      <c r="B100" s="171" t="s">
        <v>935</v>
      </c>
      <c r="C100" s="156">
        <v>0</v>
      </c>
      <c r="D100" s="157">
        <f t="shared" si="3"/>
        <v>0</v>
      </c>
      <c r="E100" s="139" t="s">
        <v>679</v>
      </c>
      <c r="G100" s="137" t="s">
        <v>677</v>
      </c>
      <c r="H100" s="133">
        <f>C101</f>
        <v>0</v>
      </c>
    </row>
    <row r="101" spans="1:8" x14ac:dyDescent="0.25">
      <c r="A101" s="158" t="s">
        <v>924</v>
      </c>
      <c r="B101" s="172" t="s">
        <v>936</v>
      </c>
      <c r="C101" s="148">
        <v>0</v>
      </c>
      <c r="D101" s="149">
        <f t="shared" si="3"/>
        <v>0</v>
      </c>
      <c r="E101" s="137" t="s">
        <v>677</v>
      </c>
      <c r="G101" s="138" t="s">
        <v>678</v>
      </c>
      <c r="H101" s="133">
        <f>C102+C105+C111</f>
        <v>0</v>
      </c>
    </row>
    <row r="102" spans="1:8" ht="12" customHeight="1" x14ac:dyDescent="0.25">
      <c r="A102" s="162" t="s">
        <v>925</v>
      </c>
      <c r="B102" s="173" t="s">
        <v>937</v>
      </c>
      <c r="C102" s="152">
        <v>0</v>
      </c>
      <c r="D102" s="153">
        <f t="shared" si="3"/>
        <v>0</v>
      </c>
      <c r="E102" s="138" t="s">
        <v>678</v>
      </c>
      <c r="G102" s="139" t="s">
        <v>679</v>
      </c>
      <c r="H102" s="133">
        <f>C100+C103+C104+C106</f>
        <v>0</v>
      </c>
    </row>
    <row r="103" spans="1:8" ht="12" customHeight="1" x14ac:dyDescent="0.25">
      <c r="A103" s="160" t="s">
        <v>926</v>
      </c>
      <c r="B103" s="171" t="s">
        <v>938</v>
      </c>
      <c r="C103" s="156">
        <v>0</v>
      </c>
      <c r="D103" s="157">
        <f t="shared" si="3"/>
        <v>0</v>
      </c>
      <c r="E103" s="139" t="s">
        <v>679</v>
      </c>
      <c r="G103" s="140" t="s">
        <v>680</v>
      </c>
      <c r="H103" s="133">
        <f>C107+C108+C109+C110</f>
        <v>0</v>
      </c>
    </row>
    <row r="104" spans="1:8" x14ac:dyDescent="0.25">
      <c r="A104" s="160" t="s">
        <v>927</v>
      </c>
      <c r="B104" s="171" t="s">
        <v>939</v>
      </c>
      <c r="C104" s="156">
        <v>0</v>
      </c>
      <c r="D104" s="157">
        <f t="shared" si="3"/>
        <v>0</v>
      </c>
      <c r="E104" s="139" t="s">
        <v>679</v>
      </c>
    </row>
    <row r="105" spans="1:8" x14ac:dyDescent="0.25">
      <c r="A105" s="162" t="s">
        <v>928</v>
      </c>
      <c r="B105" s="173" t="s">
        <v>940</v>
      </c>
      <c r="C105" s="152">
        <v>0</v>
      </c>
      <c r="D105" s="153">
        <f t="shared" si="3"/>
        <v>0</v>
      </c>
      <c r="E105" s="138" t="s">
        <v>678</v>
      </c>
      <c r="H105" s="169">
        <f>C98-H100-H101-H102-H103</f>
        <v>0</v>
      </c>
    </row>
    <row r="106" spans="1:8" ht="12" customHeight="1" x14ac:dyDescent="0.25">
      <c r="A106" s="160" t="s">
        <v>929</v>
      </c>
      <c r="B106" s="171" t="s">
        <v>941</v>
      </c>
      <c r="C106" s="156">
        <v>0</v>
      </c>
      <c r="D106" s="157">
        <f t="shared" si="3"/>
        <v>0</v>
      </c>
      <c r="E106" s="139" t="s">
        <v>679</v>
      </c>
    </row>
    <row r="107" spans="1:8" ht="12" customHeight="1" x14ac:dyDescent="0.25">
      <c r="A107" s="194" t="s">
        <v>930</v>
      </c>
      <c r="B107" s="199" t="s">
        <v>942</v>
      </c>
      <c r="C107" s="188">
        <v>0</v>
      </c>
      <c r="D107" s="189">
        <f t="shared" si="3"/>
        <v>0</v>
      </c>
      <c r="E107" s="140" t="s">
        <v>680</v>
      </c>
    </row>
    <row r="108" spans="1:8" ht="12" customHeight="1" x14ac:dyDescent="0.25">
      <c r="A108" s="194" t="s">
        <v>931</v>
      </c>
      <c r="B108" s="199" t="s">
        <v>943</v>
      </c>
      <c r="C108" s="188">
        <v>0</v>
      </c>
      <c r="D108" s="189">
        <f t="shared" si="3"/>
        <v>0</v>
      </c>
      <c r="E108" s="140" t="s">
        <v>680</v>
      </c>
    </row>
    <row r="109" spans="1:8" ht="12" customHeight="1" x14ac:dyDescent="0.25">
      <c r="A109" s="194" t="s">
        <v>932</v>
      </c>
      <c r="B109" s="199" t="s">
        <v>944</v>
      </c>
      <c r="C109" s="188">
        <v>0</v>
      </c>
      <c r="D109" s="189">
        <f t="shared" si="3"/>
        <v>0</v>
      </c>
      <c r="E109" s="140" t="s">
        <v>680</v>
      </c>
    </row>
    <row r="110" spans="1:8" ht="12" customHeight="1" x14ac:dyDescent="0.25">
      <c r="A110" s="194" t="s">
        <v>933</v>
      </c>
      <c r="B110" s="199" t="s">
        <v>945</v>
      </c>
      <c r="C110" s="188">
        <v>0</v>
      </c>
      <c r="D110" s="189">
        <f t="shared" si="3"/>
        <v>0</v>
      </c>
      <c r="E110" s="140" t="s">
        <v>680</v>
      </c>
    </row>
    <row r="111" spans="1:8" ht="12" customHeight="1" x14ac:dyDescent="0.25">
      <c r="A111" s="162" t="s">
        <v>934</v>
      </c>
      <c r="B111" s="173" t="s">
        <v>946</v>
      </c>
      <c r="C111" s="152">
        <v>0</v>
      </c>
      <c r="D111" s="153">
        <f t="shared" si="3"/>
        <v>0</v>
      </c>
      <c r="E111" s="138" t="s">
        <v>678</v>
      </c>
    </row>
    <row r="112" spans="1:8" x14ac:dyDescent="0.25">
      <c r="A112" s="94" t="s">
        <v>110</v>
      </c>
      <c r="B112" s="99" t="s">
        <v>270</v>
      </c>
      <c r="C112" s="68">
        <f>SUM(C114:C124)</f>
        <v>0</v>
      </c>
      <c r="D112" s="68">
        <f>SUM(D114:D124)</f>
        <v>0</v>
      </c>
    </row>
    <row r="113" spans="1:8" x14ac:dyDescent="0.25">
      <c r="A113" s="88" t="s">
        <v>115</v>
      </c>
      <c r="B113" s="122" t="str">
        <f>DG!D105</f>
        <v>Statia 110/6 kV Roman IMR, jud. NT</v>
      </c>
      <c r="C113" s="89"/>
      <c r="D113" s="90"/>
    </row>
    <row r="114" spans="1:8" x14ac:dyDescent="0.25">
      <c r="A114" s="158" t="s">
        <v>512</v>
      </c>
      <c r="B114" s="172" t="s">
        <v>441</v>
      </c>
      <c r="C114" s="148">
        <v>0</v>
      </c>
      <c r="D114" s="159">
        <v>0</v>
      </c>
      <c r="E114" s="137" t="s">
        <v>677</v>
      </c>
      <c r="G114" s="137" t="s">
        <v>677</v>
      </c>
      <c r="H114" s="164">
        <f>C114</f>
        <v>0</v>
      </c>
    </row>
    <row r="115" spans="1:8" ht="12" customHeight="1" x14ac:dyDescent="0.25">
      <c r="A115" s="162" t="s">
        <v>513</v>
      </c>
      <c r="B115" s="173" t="s">
        <v>443</v>
      </c>
      <c r="C115" s="152">
        <v>0</v>
      </c>
      <c r="D115" s="163">
        <v>0</v>
      </c>
      <c r="E115" s="138" t="s">
        <v>678</v>
      </c>
      <c r="G115" s="138" t="s">
        <v>678</v>
      </c>
      <c r="H115" s="133">
        <f>C115+C118+C124</f>
        <v>0</v>
      </c>
    </row>
    <row r="116" spans="1:8" ht="12" customHeight="1" x14ac:dyDescent="0.25">
      <c r="A116" s="160" t="s">
        <v>514</v>
      </c>
      <c r="B116" s="171" t="s">
        <v>949</v>
      </c>
      <c r="C116" s="156">
        <v>0</v>
      </c>
      <c r="D116" s="161">
        <v>0</v>
      </c>
      <c r="E116" s="139" t="s">
        <v>679</v>
      </c>
      <c r="G116" s="139" t="s">
        <v>679</v>
      </c>
      <c r="H116" s="133">
        <f>C116+C117+C119</f>
        <v>0</v>
      </c>
    </row>
    <row r="117" spans="1:8" x14ac:dyDescent="0.25">
      <c r="A117" s="160" t="s">
        <v>515</v>
      </c>
      <c r="B117" s="171" t="s">
        <v>950</v>
      </c>
      <c r="C117" s="156">
        <v>0</v>
      </c>
      <c r="D117" s="161">
        <v>0</v>
      </c>
      <c r="E117" s="139" t="s">
        <v>679</v>
      </c>
      <c r="G117" s="140" t="s">
        <v>680</v>
      </c>
      <c r="H117" s="133">
        <f>C120+C121+C122+C123</f>
        <v>0</v>
      </c>
    </row>
    <row r="118" spans="1:8" x14ac:dyDescent="0.25">
      <c r="A118" s="162" t="s">
        <v>516</v>
      </c>
      <c r="B118" s="173" t="s">
        <v>951</v>
      </c>
      <c r="C118" s="152">
        <v>0</v>
      </c>
      <c r="D118" s="163">
        <v>0</v>
      </c>
      <c r="E118" s="138" t="s">
        <v>678</v>
      </c>
    </row>
    <row r="119" spans="1:8" ht="12" customHeight="1" x14ac:dyDescent="0.25">
      <c r="A119" s="160" t="s">
        <v>517</v>
      </c>
      <c r="B119" s="171" t="s">
        <v>952</v>
      </c>
      <c r="C119" s="156">
        <v>0</v>
      </c>
      <c r="D119" s="161">
        <v>0</v>
      </c>
      <c r="E119" s="139" t="s">
        <v>679</v>
      </c>
      <c r="H119" s="169">
        <f>C112-H114-H115-H116-H117</f>
        <v>0</v>
      </c>
    </row>
    <row r="120" spans="1:8" ht="12" customHeight="1" x14ac:dyDescent="0.25">
      <c r="A120" s="194" t="s">
        <v>518</v>
      </c>
      <c r="B120" s="199" t="s">
        <v>953</v>
      </c>
      <c r="C120" s="188">
        <v>0</v>
      </c>
      <c r="D120" s="197">
        <v>0</v>
      </c>
      <c r="E120" s="140" t="s">
        <v>680</v>
      </c>
    </row>
    <row r="121" spans="1:8" ht="12" customHeight="1" x14ac:dyDescent="0.25">
      <c r="A121" s="194" t="s">
        <v>519</v>
      </c>
      <c r="B121" s="199" t="s">
        <v>954</v>
      </c>
      <c r="C121" s="188">
        <v>0</v>
      </c>
      <c r="D121" s="197">
        <v>0</v>
      </c>
      <c r="E121" s="140" t="s">
        <v>680</v>
      </c>
    </row>
    <row r="122" spans="1:8" ht="12" customHeight="1" x14ac:dyDescent="0.25">
      <c r="A122" s="194" t="s">
        <v>520</v>
      </c>
      <c r="B122" s="199" t="s">
        <v>955</v>
      </c>
      <c r="C122" s="188">
        <v>0</v>
      </c>
      <c r="D122" s="197">
        <v>0</v>
      </c>
      <c r="E122" s="140" t="s">
        <v>680</v>
      </c>
    </row>
    <row r="123" spans="1:8" ht="12" customHeight="1" x14ac:dyDescent="0.25">
      <c r="A123" s="194" t="s">
        <v>947</v>
      </c>
      <c r="B123" s="199" t="s">
        <v>956</v>
      </c>
      <c r="C123" s="188">
        <v>0</v>
      </c>
      <c r="D123" s="197">
        <v>0</v>
      </c>
      <c r="E123" s="140" t="s">
        <v>680</v>
      </c>
    </row>
    <row r="124" spans="1:8" ht="12" customHeight="1" x14ac:dyDescent="0.25">
      <c r="A124" s="162" t="s">
        <v>948</v>
      </c>
      <c r="B124" s="173" t="s">
        <v>957</v>
      </c>
      <c r="C124" s="152">
        <v>0</v>
      </c>
      <c r="D124" s="163">
        <v>0</v>
      </c>
      <c r="E124" s="138" t="s">
        <v>678</v>
      </c>
    </row>
    <row r="125" spans="1:8" ht="12" customHeight="1" x14ac:dyDescent="0.25">
      <c r="A125" s="74" t="s">
        <v>119</v>
      </c>
      <c r="B125" s="83" t="s">
        <v>282</v>
      </c>
      <c r="C125" s="73">
        <v>0</v>
      </c>
      <c r="D125" s="73">
        <v>0</v>
      </c>
    </row>
    <row r="126" spans="1:8" x14ac:dyDescent="0.25">
      <c r="A126" s="74" t="s">
        <v>121</v>
      </c>
      <c r="B126" s="72" t="s">
        <v>283</v>
      </c>
      <c r="C126" s="73">
        <v>0</v>
      </c>
      <c r="D126" s="73">
        <v>0</v>
      </c>
    </row>
    <row r="127" spans="1:8" x14ac:dyDescent="0.25">
      <c r="A127" s="74" t="s">
        <v>123</v>
      </c>
      <c r="B127" s="72" t="s">
        <v>284</v>
      </c>
      <c r="C127" s="73">
        <v>0</v>
      </c>
      <c r="D127" s="73">
        <v>0</v>
      </c>
    </row>
    <row r="128" spans="1:8" x14ac:dyDescent="0.25">
      <c r="A128" s="74" t="s">
        <v>127</v>
      </c>
      <c r="B128" s="72" t="s">
        <v>285</v>
      </c>
      <c r="C128" s="73">
        <v>0</v>
      </c>
      <c r="D128" s="73">
        <v>0</v>
      </c>
    </row>
    <row r="129" spans="1:4" x14ac:dyDescent="0.25">
      <c r="A129" s="74" t="s">
        <v>286</v>
      </c>
      <c r="B129" s="77" t="s">
        <v>287</v>
      </c>
      <c r="C129" s="73">
        <v>0</v>
      </c>
      <c r="D129" s="73">
        <v>0</v>
      </c>
    </row>
    <row r="130" spans="1:4" x14ac:dyDescent="0.25">
      <c r="A130" s="74" t="s">
        <v>288</v>
      </c>
      <c r="B130" s="72" t="s">
        <v>289</v>
      </c>
      <c r="C130" s="73">
        <v>0</v>
      </c>
      <c r="D130" s="73">
        <v>0</v>
      </c>
    </row>
    <row r="131" spans="1:4" x14ac:dyDescent="0.25">
      <c r="A131" s="74" t="s">
        <v>150</v>
      </c>
      <c r="B131" s="72" t="s">
        <v>290</v>
      </c>
      <c r="C131" s="73">
        <v>0</v>
      </c>
      <c r="D131" s="73">
        <v>0</v>
      </c>
    </row>
    <row r="132" spans="1:4" x14ac:dyDescent="0.25">
      <c r="A132" s="274" t="s">
        <v>291</v>
      </c>
      <c r="B132" s="274"/>
      <c r="C132" s="73">
        <f>C13+C44+C45+C52</f>
        <v>0</v>
      </c>
      <c r="D132" s="73">
        <f>D13+D44+D45+D52</f>
        <v>0</v>
      </c>
    </row>
    <row r="133" spans="1:4" x14ac:dyDescent="0.25">
      <c r="A133" s="274" t="s">
        <v>292</v>
      </c>
      <c r="B133" s="274"/>
      <c r="C133" s="73">
        <f>C132*19%</f>
        <v>0</v>
      </c>
      <c r="D133" s="73">
        <f>D132*19%</f>
        <v>0</v>
      </c>
    </row>
    <row r="134" spans="1:4" x14ac:dyDescent="0.25">
      <c r="A134" s="274" t="s">
        <v>293</v>
      </c>
      <c r="B134" s="274"/>
      <c r="C134" s="73">
        <f>C132+C133</f>
        <v>0</v>
      </c>
      <c r="D134" s="73">
        <f>D132+D133</f>
        <v>0</v>
      </c>
    </row>
  </sheetData>
  <mergeCells count="12">
    <mergeCell ref="A10:A11"/>
    <mergeCell ref="B10:B11"/>
    <mergeCell ref="A132:B132"/>
    <mergeCell ref="A133:B133"/>
    <mergeCell ref="A134:B134"/>
    <mergeCell ref="A9:B9"/>
    <mergeCell ref="A1:B1"/>
    <mergeCell ref="A2:B2"/>
    <mergeCell ref="A3:D3"/>
    <mergeCell ref="A4:D4"/>
    <mergeCell ref="B6:D6"/>
    <mergeCell ref="C9:D9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EB74-262F-4BCB-A057-B17380F8488F}">
  <dimension ref="A1:H132"/>
  <sheetViews>
    <sheetView topLeftCell="A116" zoomScale="160" zoomScaleNormal="160" zoomScaleSheetLayoutView="100" workbookViewId="0">
      <selection activeCell="C123" sqref="C123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0.09765625" style="67" customWidth="1"/>
    <col min="6" max="6" width="8.69921875" style="67"/>
    <col min="7" max="7" width="11.3984375" style="67" customWidth="1"/>
    <col min="8" max="8" width="9.5" style="67" bestFit="1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DG!D80</f>
        <v>Statia 110/20 kV PAL Neamt, jud. NT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C14+C15+C36+C39</f>
        <v>0</v>
      </c>
      <c r="D13" s="102">
        <f>D14+D15+D36+D39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SUM(C17:C35)</f>
        <v>0</v>
      </c>
      <c r="D15" s="68">
        <f>SUM(D17:D35)</f>
        <v>0</v>
      </c>
    </row>
    <row r="16" spans="1:5" x14ac:dyDescent="0.25">
      <c r="A16" s="109" t="s">
        <v>33</v>
      </c>
      <c r="B16" s="70" t="str">
        <f>DG!D21</f>
        <v>Statia 110/20 kV PAL Neamt, jud. NT</v>
      </c>
      <c r="C16" s="66"/>
      <c r="D16" s="66"/>
    </row>
    <row r="17" spans="1:8" x14ac:dyDescent="0.25">
      <c r="A17" s="165" t="s">
        <v>1358</v>
      </c>
      <c r="B17" s="147" t="s">
        <v>874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SUM(C17:C23)+C26+C27</f>
        <v>0</v>
      </c>
    </row>
    <row r="18" spans="1:8" ht="11.1" customHeight="1" x14ac:dyDescent="0.25">
      <c r="A18" s="165" t="s">
        <v>1607</v>
      </c>
      <c r="B18" s="147" t="s">
        <v>1599</v>
      </c>
      <c r="C18" s="148">
        <v>0</v>
      </c>
      <c r="D18" s="149">
        <f t="shared" ref="D18:D25" si="0">C18</f>
        <v>0</v>
      </c>
      <c r="E18" s="137" t="s">
        <v>677</v>
      </c>
      <c r="G18" s="138" t="s">
        <v>678</v>
      </c>
      <c r="H18" s="164">
        <f>C33+C34</f>
        <v>0</v>
      </c>
    </row>
    <row r="19" spans="1:8" ht="11.1" customHeight="1" x14ac:dyDescent="0.25">
      <c r="A19" s="165" t="s">
        <v>1608</v>
      </c>
      <c r="B19" s="147" t="s">
        <v>875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SUM(C24:C25)+SUM(C28:C30)</f>
        <v>0</v>
      </c>
    </row>
    <row r="20" spans="1:8" ht="11.1" customHeight="1" x14ac:dyDescent="0.25">
      <c r="A20" s="165" t="s">
        <v>1609</v>
      </c>
      <c r="B20" s="147" t="s">
        <v>1600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64">
        <f>C31+C32+C35</f>
        <v>0</v>
      </c>
    </row>
    <row r="21" spans="1:8" ht="11.1" customHeight="1" x14ac:dyDescent="0.25">
      <c r="A21" s="165" t="s">
        <v>1610</v>
      </c>
      <c r="B21" s="147" t="s">
        <v>1601</v>
      </c>
      <c r="C21" s="148">
        <v>0</v>
      </c>
      <c r="D21" s="149">
        <f t="shared" si="0"/>
        <v>0</v>
      </c>
      <c r="E21" s="137" t="s">
        <v>677</v>
      </c>
    </row>
    <row r="22" spans="1:8" ht="11.1" customHeight="1" x14ac:dyDescent="0.25">
      <c r="A22" s="165" t="s">
        <v>1611</v>
      </c>
      <c r="B22" s="147" t="s">
        <v>1602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ht="11.1" customHeight="1" x14ac:dyDescent="0.25">
      <c r="A23" s="165" t="s">
        <v>1612</v>
      </c>
      <c r="B23" s="147" t="s">
        <v>1603</v>
      </c>
      <c r="C23" s="148">
        <v>0</v>
      </c>
      <c r="D23" s="149">
        <f t="shared" si="0"/>
        <v>0</v>
      </c>
      <c r="E23" s="137" t="s">
        <v>677</v>
      </c>
    </row>
    <row r="24" spans="1:8" ht="11.1" customHeight="1" x14ac:dyDescent="0.25">
      <c r="A24" s="165" t="s">
        <v>1613</v>
      </c>
      <c r="B24" s="155" t="s">
        <v>1604</v>
      </c>
      <c r="C24" s="156">
        <v>0</v>
      </c>
      <c r="D24" s="157">
        <f t="shared" si="0"/>
        <v>0</v>
      </c>
      <c r="E24" s="139" t="s">
        <v>679</v>
      </c>
    </row>
    <row r="25" spans="1:8" ht="11.1" customHeight="1" x14ac:dyDescent="0.25">
      <c r="A25" s="165" t="s">
        <v>1614</v>
      </c>
      <c r="B25" s="155" t="s">
        <v>884</v>
      </c>
      <c r="C25" s="156">
        <v>0</v>
      </c>
      <c r="D25" s="157">
        <f t="shared" si="0"/>
        <v>0</v>
      </c>
      <c r="E25" s="139" t="s">
        <v>679</v>
      </c>
    </row>
    <row r="26" spans="1:8" ht="11.1" customHeight="1" x14ac:dyDescent="0.25">
      <c r="A26" s="165" t="s">
        <v>1615</v>
      </c>
      <c r="B26" s="147" t="s">
        <v>1605</v>
      </c>
      <c r="C26" s="148">
        <v>0</v>
      </c>
      <c r="D26" s="149">
        <f t="shared" ref="D26:D36" si="1">C26</f>
        <v>0</v>
      </c>
      <c r="E26" s="137" t="s">
        <v>677</v>
      </c>
    </row>
    <row r="27" spans="1:8" ht="11.1" customHeight="1" x14ac:dyDescent="0.25">
      <c r="A27" s="146" t="s">
        <v>1797</v>
      </c>
      <c r="B27" s="147" t="s">
        <v>990</v>
      </c>
      <c r="C27" s="148">
        <v>0</v>
      </c>
      <c r="D27" s="149">
        <f t="shared" si="1"/>
        <v>0</v>
      </c>
      <c r="E27" s="137" t="s">
        <v>677</v>
      </c>
    </row>
    <row r="28" spans="1:8" ht="11.1" customHeight="1" x14ac:dyDescent="0.25">
      <c r="A28" s="154" t="s">
        <v>1798</v>
      </c>
      <c r="B28" s="155" t="s">
        <v>1661</v>
      </c>
      <c r="C28" s="156">
        <v>0</v>
      </c>
      <c r="D28" s="157">
        <f t="shared" si="1"/>
        <v>0</v>
      </c>
      <c r="E28" s="139" t="s">
        <v>679</v>
      </c>
    </row>
    <row r="29" spans="1:8" ht="11.1" customHeight="1" x14ac:dyDescent="0.25">
      <c r="A29" s="154" t="s">
        <v>1799</v>
      </c>
      <c r="B29" s="155" t="s">
        <v>1662</v>
      </c>
      <c r="C29" s="156">
        <v>0</v>
      </c>
      <c r="D29" s="157">
        <f t="shared" si="1"/>
        <v>0</v>
      </c>
      <c r="E29" s="139" t="s">
        <v>679</v>
      </c>
    </row>
    <row r="30" spans="1:8" ht="11.1" customHeight="1" x14ac:dyDescent="0.25">
      <c r="A30" s="154" t="s">
        <v>1800</v>
      </c>
      <c r="B30" s="155" t="s">
        <v>992</v>
      </c>
      <c r="C30" s="156">
        <v>0</v>
      </c>
      <c r="D30" s="157">
        <f t="shared" si="1"/>
        <v>0</v>
      </c>
      <c r="E30" s="139" t="s">
        <v>679</v>
      </c>
    </row>
    <row r="31" spans="1:8" ht="11.1" customHeight="1" x14ac:dyDescent="0.25">
      <c r="A31" s="190" t="s">
        <v>1801</v>
      </c>
      <c r="B31" s="191" t="s">
        <v>363</v>
      </c>
      <c r="C31" s="188">
        <v>0</v>
      </c>
      <c r="D31" s="189">
        <f t="shared" si="1"/>
        <v>0</v>
      </c>
      <c r="E31" s="140" t="s">
        <v>680</v>
      </c>
    </row>
    <row r="32" spans="1:8" ht="11.1" customHeight="1" x14ac:dyDescent="0.25">
      <c r="A32" s="190" t="s">
        <v>1802</v>
      </c>
      <c r="B32" s="191" t="s">
        <v>993</v>
      </c>
      <c r="C32" s="188">
        <v>0</v>
      </c>
      <c r="D32" s="189">
        <f t="shared" si="1"/>
        <v>0</v>
      </c>
      <c r="E32" s="140" t="s">
        <v>680</v>
      </c>
    </row>
    <row r="33" spans="1:5" ht="11.1" customHeight="1" x14ac:dyDescent="0.25">
      <c r="A33" s="150" t="s">
        <v>1803</v>
      </c>
      <c r="B33" s="176" t="s">
        <v>1663</v>
      </c>
      <c r="C33" s="152">
        <v>0</v>
      </c>
      <c r="D33" s="153">
        <f t="shared" si="1"/>
        <v>0</v>
      </c>
      <c r="E33" s="138" t="s">
        <v>678</v>
      </c>
    </row>
    <row r="34" spans="1:5" ht="11.1" customHeight="1" x14ac:dyDescent="0.25">
      <c r="A34" s="150" t="s">
        <v>1804</v>
      </c>
      <c r="B34" s="176" t="s">
        <v>897</v>
      </c>
      <c r="C34" s="152">
        <v>0</v>
      </c>
      <c r="D34" s="153">
        <f t="shared" si="1"/>
        <v>0</v>
      </c>
      <c r="E34" s="138" t="s">
        <v>678</v>
      </c>
    </row>
    <row r="35" spans="1:5" ht="11.1" customHeight="1" x14ac:dyDescent="0.25">
      <c r="A35" s="190" t="s">
        <v>1805</v>
      </c>
      <c r="B35" s="204" t="s">
        <v>995</v>
      </c>
      <c r="C35" s="188">
        <v>0</v>
      </c>
      <c r="D35" s="189">
        <f t="shared" si="1"/>
        <v>0</v>
      </c>
      <c r="E35" s="140" t="s">
        <v>680</v>
      </c>
    </row>
    <row r="36" spans="1:5" x14ac:dyDescent="0.25">
      <c r="A36" s="94" t="s">
        <v>39</v>
      </c>
      <c r="B36" s="95" t="s">
        <v>185</v>
      </c>
      <c r="C36" s="96">
        <f>C38</f>
        <v>0</v>
      </c>
      <c r="D36" s="97">
        <f t="shared" si="1"/>
        <v>0</v>
      </c>
    </row>
    <row r="37" spans="1:5" ht="11.1" customHeight="1" x14ac:dyDescent="0.25">
      <c r="A37" s="109" t="s">
        <v>45</v>
      </c>
      <c r="B37" s="75" t="str">
        <f>DG!D34</f>
        <v>Statia 110/20 kV PAL Neamt, jud. NT</v>
      </c>
      <c r="C37" s="89"/>
      <c r="D37" s="66"/>
    </row>
    <row r="38" spans="1:5" s="76" customFormat="1" ht="11.1" customHeight="1" x14ac:dyDescent="0.25">
      <c r="A38" s="69" t="s">
        <v>1606</v>
      </c>
      <c r="B38" s="123" t="s">
        <v>352</v>
      </c>
      <c r="C38" s="118">
        <v>0</v>
      </c>
      <c r="D38" s="66">
        <f>C38</f>
        <v>0</v>
      </c>
    </row>
    <row r="39" spans="1:5" ht="11.1" customHeight="1" x14ac:dyDescent="0.25">
      <c r="A39" s="94" t="s">
        <v>187</v>
      </c>
      <c r="B39" s="98" t="s">
        <v>48</v>
      </c>
      <c r="C39" s="96">
        <v>0</v>
      </c>
      <c r="D39" s="71">
        <v>0</v>
      </c>
    </row>
    <row r="40" spans="1:5" x14ac:dyDescent="0.25">
      <c r="A40" s="103" t="s">
        <v>188</v>
      </c>
      <c r="B40" s="104" t="s">
        <v>189</v>
      </c>
      <c r="C40" s="105">
        <v>0</v>
      </c>
      <c r="D40" s="102">
        <v>0</v>
      </c>
    </row>
    <row r="41" spans="1:5" x14ac:dyDescent="0.25">
      <c r="A41" s="103" t="s">
        <v>190</v>
      </c>
      <c r="B41" s="104" t="s">
        <v>69</v>
      </c>
      <c r="C41" s="106">
        <f>SUM(C42:C47)</f>
        <v>0</v>
      </c>
      <c r="D41" s="106">
        <f>SUM(D42:D47)</f>
        <v>0</v>
      </c>
    </row>
    <row r="42" spans="1:5" ht="12" customHeight="1" x14ac:dyDescent="0.25">
      <c r="A42" s="74" t="s">
        <v>191</v>
      </c>
      <c r="B42" s="72" t="s">
        <v>192</v>
      </c>
      <c r="C42" s="73">
        <v>0</v>
      </c>
      <c r="D42" s="73">
        <v>0</v>
      </c>
    </row>
    <row r="43" spans="1:5" x14ac:dyDescent="0.25">
      <c r="A43" s="74" t="s">
        <v>193</v>
      </c>
      <c r="B43" s="72" t="s">
        <v>194</v>
      </c>
      <c r="C43" s="73">
        <v>0</v>
      </c>
      <c r="D43" s="73">
        <v>0</v>
      </c>
    </row>
    <row r="44" spans="1:5" ht="22.8" x14ac:dyDescent="0.25">
      <c r="A44" s="74" t="s">
        <v>195</v>
      </c>
      <c r="B44" s="83" t="s">
        <v>196</v>
      </c>
      <c r="C44" s="73">
        <v>0</v>
      </c>
      <c r="D44" s="73">
        <v>0</v>
      </c>
    </row>
    <row r="45" spans="1:5" ht="12" customHeight="1" x14ac:dyDescent="0.25">
      <c r="A45" s="74" t="s">
        <v>197</v>
      </c>
      <c r="B45" s="83" t="s">
        <v>198</v>
      </c>
      <c r="C45" s="73">
        <v>0</v>
      </c>
      <c r="D45" s="73">
        <v>0</v>
      </c>
    </row>
    <row r="46" spans="1:5" ht="12" customHeight="1" x14ac:dyDescent="0.25">
      <c r="A46" s="74" t="s">
        <v>199</v>
      </c>
      <c r="B46" s="83" t="s">
        <v>200</v>
      </c>
      <c r="C46" s="73">
        <v>0</v>
      </c>
      <c r="D46" s="73">
        <v>0</v>
      </c>
    </row>
    <row r="47" spans="1:5" x14ac:dyDescent="0.25">
      <c r="A47" s="74" t="s">
        <v>201</v>
      </c>
      <c r="B47" s="72" t="s">
        <v>202</v>
      </c>
      <c r="C47" s="73">
        <v>0</v>
      </c>
      <c r="D47" s="73">
        <v>0</v>
      </c>
    </row>
    <row r="48" spans="1:5" ht="10.199999999999999" customHeight="1" x14ac:dyDescent="0.25">
      <c r="A48" s="103" t="s">
        <v>203</v>
      </c>
      <c r="B48" s="104" t="s">
        <v>204</v>
      </c>
      <c r="C48" s="105">
        <f>C49+C96+C109</f>
        <v>0</v>
      </c>
      <c r="D48" s="105">
        <f>D49+D96+D109</f>
        <v>0</v>
      </c>
    </row>
    <row r="49" spans="1:8" x14ac:dyDescent="0.25">
      <c r="A49" s="94" t="s">
        <v>92</v>
      </c>
      <c r="B49" s="99" t="s">
        <v>157</v>
      </c>
      <c r="C49" s="68">
        <f>SUM(C51:C95)</f>
        <v>0</v>
      </c>
      <c r="D49" s="68">
        <f>SUM(D51:D95)</f>
        <v>0</v>
      </c>
    </row>
    <row r="50" spans="1:8" x14ac:dyDescent="0.25">
      <c r="A50" s="87" t="s">
        <v>98</v>
      </c>
      <c r="B50" s="79" t="str">
        <f>DG!D80</f>
        <v>Statia 110/20 kV PAL Neamt, jud. NT</v>
      </c>
      <c r="C50" s="80"/>
      <c r="D50" s="90"/>
    </row>
    <row r="51" spans="1:8" x14ac:dyDescent="0.25">
      <c r="A51" s="146" t="s">
        <v>1616</v>
      </c>
      <c r="B51" s="177" t="s">
        <v>1008</v>
      </c>
      <c r="C51" s="148">
        <v>0</v>
      </c>
      <c r="D51" s="149">
        <f t="shared" ref="D51:D105" si="2">C51</f>
        <v>0</v>
      </c>
      <c r="E51" s="137" t="s">
        <v>677</v>
      </c>
      <c r="G51" s="137" t="s">
        <v>677</v>
      </c>
      <c r="H51" s="133">
        <f>C51+SUM(C54:C60)+SUM(C80:C84)</f>
        <v>0</v>
      </c>
    </row>
    <row r="52" spans="1:8" x14ac:dyDescent="0.25">
      <c r="A52" s="150" t="s">
        <v>1617</v>
      </c>
      <c r="B52" s="176" t="s">
        <v>913</v>
      </c>
      <c r="C52" s="152">
        <v>0</v>
      </c>
      <c r="D52" s="153">
        <f t="shared" si="2"/>
        <v>0</v>
      </c>
      <c r="E52" s="138" t="s">
        <v>678</v>
      </c>
      <c r="G52" s="138" t="s">
        <v>678</v>
      </c>
      <c r="H52" s="133">
        <f>C52+C66+C67+C85+C86+C90</f>
        <v>0</v>
      </c>
    </row>
    <row r="53" spans="1:8" x14ac:dyDescent="0.25">
      <c r="A53" s="190" t="s">
        <v>1618</v>
      </c>
      <c r="B53" s="204" t="s">
        <v>427</v>
      </c>
      <c r="C53" s="188">
        <v>0</v>
      </c>
      <c r="D53" s="189">
        <f t="shared" si="2"/>
        <v>0</v>
      </c>
      <c r="E53" s="140" t="s">
        <v>680</v>
      </c>
      <c r="G53" s="139" t="s">
        <v>679</v>
      </c>
      <c r="H53" s="133">
        <f>C61+C62+C64+C65+C68+C87+C89</f>
        <v>0</v>
      </c>
    </row>
    <row r="54" spans="1:8" x14ac:dyDescent="0.25">
      <c r="A54" s="146" t="s">
        <v>1619</v>
      </c>
      <c r="B54" s="177" t="s">
        <v>314</v>
      </c>
      <c r="C54" s="148">
        <v>0</v>
      </c>
      <c r="D54" s="149">
        <f t="shared" si="2"/>
        <v>0</v>
      </c>
      <c r="E54" s="137" t="s">
        <v>677</v>
      </c>
      <c r="G54" s="140" t="s">
        <v>680</v>
      </c>
      <c r="H54" s="133">
        <f>C53+C63+SUM(C69:C79)+C88+SUM(C91:C94)</f>
        <v>0</v>
      </c>
    </row>
    <row r="55" spans="1:8" x14ac:dyDescent="0.25">
      <c r="A55" s="146" t="s">
        <v>1620</v>
      </c>
      <c r="B55" s="177" t="s">
        <v>1664</v>
      </c>
      <c r="C55" s="148">
        <v>0</v>
      </c>
      <c r="D55" s="149">
        <f t="shared" si="2"/>
        <v>0</v>
      </c>
      <c r="E55" s="137" t="s">
        <v>677</v>
      </c>
      <c r="G55" s="141" t="s">
        <v>681</v>
      </c>
      <c r="H55" s="133">
        <f>C95</f>
        <v>0</v>
      </c>
    </row>
    <row r="56" spans="1:8" x14ac:dyDescent="0.25">
      <c r="A56" s="146" t="s">
        <v>1621</v>
      </c>
      <c r="B56" s="177" t="s">
        <v>900</v>
      </c>
      <c r="C56" s="148">
        <v>0</v>
      </c>
      <c r="D56" s="149">
        <f t="shared" si="2"/>
        <v>0</v>
      </c>
      <c r="E56" s="137" t="s">
        <v>677</v>
      </c>
    </row>
    <row r="57" spans="1:8" x14ac:dyDescent="0.25">
      <c r="A57" s="146" t="s">
        <v>1622</v>
      </c>
      <c r="B57" s="177" t="s">
        <v>1665</v>
      </c>
      <c r="C57" s="148">
        <v>0</v>
      </c>
      <c r="D57" s="149">
        <f t="shared" si="2"/>
        <v>0</v>
      </c>
      <c r="E57" s="137" t="s">
        <v>677</v>
      </c>
      <c r="H57" s="169">
        <f>C49-H51-H52-H53-H54-H55</f>
        <v>0</v>
      </c>
    </row>
    <row r="58" spans="1:8" x14ac:dyDescent="0.25">
      <c r="A58" s="146" t="s">
        <v>1623</v>
      </c>
      <c r="B58" s="177" t="s">
        <v>1666</v>
      </c>
      <c r="C58" s="148">
        <v>0</v>
      </c>
      <c r="D58" s="149">
        <f t="shared" si="2"/>
        <v>0</v>
      </c>
      <c r="E58" s="137" t="s">
        <v>677</v>
      </c>
    </row>
    <row r="59" spans="1:8" x14ac:dyDescent="0.25">
      <c r="A59" s="146" t="s">
        <v>1624</v>
      </c>
      <c r="B59" s="177" t="s">
        <v>1667</v>
      </c>
      <c r="C59" s="148">
        <v>0</v>
      </c>
      <c r="D59" s="149">
        <f t="shared" si="2"/>
        <v>0</v>
      </c>
      <c r="E59" s="137" t="s">
        <v>677</v>
      </c>
    </row>
    <row r="60" spans="1:8" x14ac:dyDescent="0.25">
      <c r="A60" s="146" t="s">
        <v>1625</v>
      </c>
      <c r="B60" s="177" t="s">
        <v>1668</v>
      </c>
      <c r="C60" s="148">
        <v>0</v>
      </c>
      <c r="D60" s="149">
        <f t="shared" si="2"/>
        <v>0</v>
      </c>
      <c r="E60" s="137" t="s">
        <v>677</v>
      </c>
    </row>
    <row r="61" spans="1:8" x14ac:dyDescent="0.25">
      <c r="A61" s="154" t="s">
        <v>1626</v>
      </c>
      <c r="B61" s="178" t="s">
        <v>1669</v>
      </c>
      <c r="C61" s="156">
        <v>0</v>
      </c>
      <c r="D61" s="157">
        <f t="shared" si="2"/>
        <v>0</v>
      </c>
      <c r="E61" s="139" t="s">
        <v>679</v>
      </c>
    </row>
    <row r="62" spans="1:8" x14ac:dyDescent="0.25">
      <c r="A62" s="154" t="s">
        <v>1627</v>
      </c>
      <c r="B62" s="178" t="s">
        <v>1415</v>
      </c>
      <c r="C62" s="156">
        <v>0</v>
      </c>
      <c r="D62" s="157">
        <f t="shared" si="2"/>
        <v>0</v>
      </c>
      <c r="E62" s="139" t="s">
        <v>679</v>
      </c>
    </row>
    <row r="63" spans="1:8" x14ac:dyDescent="0.25">
      <c r="A63" s="190" t="s">
        <v>1628</v>
      </c>
      <c r="B63" s="204" t="s">
        <v>1002</v>
      </c>
      <c r="C63" s="188">
        <v>0</v>
      </c>
      <c r="D63" s="189">
        <f t="shared" si="2"/>
        <v>0</v>
      </c>
      <c r="E63" s="140" t="s">
        <v>680</v>
      </c>
    </row>
    <row r="64" spans="1:8" x14ac:dyDescent="0.25">
      <c r="A64" s="154" t="s">
        <v>1629</v>
      </c>
      <c r="B64" s="178" t="s">
        <v>996</v>
      </c>
      <c r="C64" s="156">
        <v>0</v>
      </c>
      <c r="D64" s="157">
        <f t="shared" si="2"/>
        <v>0</v>
      </c>
      <c r="E64" s="139" t="s">
        <v>679</v>
      </c>
    </row>
    <row r="65" spans="1:5" x14ac:dyDescent="0.25">
      <c r="A65" s="154" t="s">
        <v>1630</v>
      </c>
      <c r="B65" s="178" t="s">
        <v>1432</v>
      </c>
      <c r="C65" s="156">
        <v>0</v>
      </c>
      <c r="D65" s="157">
        <f t="shared" si="2"/>
        <v>0</v>
      </c>
      <c r="E65" s="139" t="s">
        <v>679</v>
      </c>
    </row>
    <row r="66" spans="1:5" x14ac:dyDescent="0.25">
      <c r="A66" s="150" t="s">
        <v>1631</v>
      </c>
      <c r="B66" s="176" t="s">
        <v>1010</v>
      </c>
      <c r="C66" s="152">
        <v>0</v>
      </c>
      <c r="D66" s="153">
        <f t="shared" si="2"/>
        <v>0</v>
      </c>
      <c r="E66" s="138" t="s">
        <v>678</v>
      </c>
    </row>
    <row r="67" spans="1:5" x14ac:dyDescent="0.25">
      <c r="A67" s="150" t="s">
        <v>1632</v>
      </c>
      <c r="B67" s="176" t="s">
        <v>918</v>
      </c>
      <c r="C67" s="152">
        <v>0</v>
      </c>
      <c r="D67" s="153">
        <f t="shared" si="2"/>
        <v>0</v>
      </c>
      <c r="E67" s="138" t="s">
        <v>678</v>
      </c>
    </row>
    <row r="68" spans="1:5" x14ac:dyDescent="0.25">
      <c r="A68" s="154" t="s">
        <v>1633</v>
      </c>
      <c r="B68" s="178" t="s">
        <v>1670</v>
      </c>
      <c r="C68" s="156">
        <v>0</v>
      </c>
      <c r="D68" s="157">
        <f t="shared" si="2"/>
        <v>0</v>
      </c>
      <c r="E68" s="139" t="s">
        <v>679</v>
      </c>
    </row>
    <row r="69" spans="1:5" x14ac:dyDescent="0.25">
      <c r="A69" s="190" t="s">
        <v>1634</v>
      </c>
      <c r="B69" s="204" t="s">
        <v>1014</v>
      </c>
      <c r="C69" s="188">
        <v>0</v>
      </c>
      <c r="D69" s="189">
        <f t="shared" si="2"/>
        <v>0</v>
      </c>
      <c r="E69" s="140" t="s">
        <v>680</v>
      </c>
    </row>
    <row r="70" spans="1:5" x14ac:dyDescent="0.25">
      <c r="A70" s="190" t="s">
        <v>1635</v>
      </c>
      <c r="B70" s="204" t="s">
        <v>1015</v>
      </c>
      <c r="C70" s="188">
        <v>0</v>
      </c>
      <c r="D70" s="189">
        <f t="shared" si="2"/>
        <v>0</v>
      </c>
      <c r="E70" s="140" t="s">
        <v>680</v>
      </c>
    </row>
    <row r="71" spans="1:5" x14ac:dyDescent="0.25">
      <c r="A71" s="190" t="s">
        <v>1636</v>
      </c>
      <c r="B71" s="204" t="s">
        <v>1016</v>
      </c>
      <c r="C71" s="188">
        <v>0</v>
      </c>
      <c r="D71" s="189">
        <f t="shared" si="2"/>
        <v>0</v>
      </c>
      <c r="E71" s="140" t="s">
        <v>680</v>
      </c>
    </row>
    <row r="72" spans="1:5" x14ac:dyDescent="0.25">
      <c r="A72" s="190" t="s">
        <v>1637</v>
      </c>
      <c r="B72" s="204" t="s">
        <v>436</v>
      </c>
      <c r="C72" s="188">
        <v>0</v>
      </c>
      <c r="D72" s="189">
        <f t="shared" si="2"/>
        <v>0</v>
      </c>
      <c r="E72" s="140" t="s">
        <v>680</v>
      </c>
    </row>
    <row r="73" spans="1:5" x14ac:dyDescent="0.25">
      <c r="A73" s="190" t="s">
        <v>1638</v>
      </c>
      <c r="B73" s="204" t="s">
        <v>1671</v>
      </c>
      <c r="C73" s="188">
        <v>0</v>
      </c>
      <c r="D73" s="189">
        <f t="shared" si="2"/>
        <v>0</v>
      </c>
      <c r="E73" s="140" t="s">
        <v>680</v>
      </c>
    </row>
    <row r="74" spans="1:5" x14ac:dyDescent="0.25">
      <c r="A74" s="190" t="s">
        <v>1639</v>
      </c>
      <c r="B74" s="204" t="s">
        <v>1672</v>
      </c>
      <c r="C74" s="188">
        <v>0</v>
      </c>
      <c r="D74" s="189">
        <f t="shared" si="2"/>
        <v>0</v>
      </c>
      <c r="E74" s="140" t="s">
        <v>680</v>
      </c>
    </row>
    <row r="75" spans="1:5" x14ac:dyDescent="0.25">
      <c r="A75" s="190" t="s">
        <v>1640</v>
      </c>
      <c r="B75" s="204" t="s">
        <v>426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90" t="s">
        <v>1641</v>
      </c>
      <c r="B76" s="204" t="s">
        <v>1673</v>
      </c>
      <c r="C76" s="188">
        <v>0</v>
      </c>
      <c r="D76" s="189">
        <f t="shared" si="2"/>
        <v>0</v>
      </c>
      <c r="E76" s="140" t="s">
        <v>680</v>
      </c>
    </row>
    <row r="77" spans="1:5" x14ac:dyDescent="0.25">
      <c r="A77" s="190" t="s">
        <v>1642</v>
      </c>
      <c r="B77" s="204" t="s">
        <v>1018</v>
      </c>
      <c r="C77" s="188">
        <v>0</v>
      </c>
      <c r="D77" s="189">
        <f t="shared" si="2"/>
        <v>0</v>
      </c>
      <c r="E77" s="140" t="s">
        <v>680</v>
      </c>
    </row>
    <row r="78" spans="1:5" x14ac:dyDescent="0.25">
      <c r="A78" s="190" t="s">
        <v>1643</v>
      </c>
      <c r="B78" s="204" t="s">
        <v>1019</v>
      </c>
      <c r="C78" s="188">
        <v>0</v>
      </c>
      <c r="D78" s="189">
        <f t="shared" si="2"/>
        <v>0</v>
      </c>
      <c r="E78" s="140" t="s">
        <v>680</v>
      </c>
    </row>
    <row r="79" spans="1:5" x14ac:dyDescent="0.25">
      <c r="A79" s="190" t="s">
        <v>1644</v>
      </c>
      <c r="B79" s="204" t="s">
        <v>1674</v>
      </c>
      <c r="C79" s="188">
        <v>0</v>
      </c>
      <c r="D79" s="189">
        <f t="shared" si="2"/>
        <v>0</v>
      </c>
      <c r="E79" s="140" t="s">
        <v>680</v>
      </c>
    </row>
    <row r="80" spans="1:5" x14ac:dyDescent="0.25">
      <c r="A80" s="146" t="s">
        <v>1645</v>
      </c>
      <c r="B80" s="177" t="s">
        <v>1675</v>
      </c>
      <c r="C80" s="148">
        <v>0</v>
      </c>
      <c r="D80" s="149">
        <f t="shared" si="2"/>
        <v>0</v>
      </c>
      <c r="E80" s="137" t="s">
        <v>677</v>
      </c>
    </row>
    <row r="81" spans="1:6" x14ac:dyDescent="0.25">
      <c r="A81" s="146" t="s">
        <v>1646</v>
      </c>
      <c r="B81" s="177" t="s">
        <v>1676</v>
      </c>
      <c r="C81" s="148">
        <v>0</v>
      </c>
      <c r="D81" s="149">
        <f t="shared" si="2"/>
        <v>0</v>
      </c>
      <c r="E81" s="137" t="s">
        <v>677</v>
      </c>
    </row>
    <row r="82" spans="1:6" x14ac:dyDescent="0.25">
      <c r="A82" s="146" t="s">
        <v>1647</v>
      </c>
      <c r="B82" s="177" t="s">
        <v>1677</v>
      </c>
      <c r="C82" s="148">
        <v>0</v>
      </c>
      <c r="D82" s="149">
        <f t="shared" si="2"/>
        <v>0</v>
      </c>
      <c r="E82" s="137" t="s">
        <v>677</v>
      </c>
    </row>
    <row r="83" spans="1:6" x14ac:dyDescent="0.25">
      <c r="A83" s="146" t="s">
        <v>1648</v>
      </c>
      <c r="B83" s="177" t="s">
        <v>1678</v>
      </c>
      <c r="C83" s="148">
        <v>0</v>
      </c>
      <c r="D83" s="149">
        <f t="shared" si="2"/>
        <v>0</v>
      </c>
      <c r="E83" s="137" t="s">
        <v>677</v>
      </c>
    </row>
    <row r="84" spans="1:6" x14ac:dyDescent="0.25">
      <c r="A84" s="146" t="s">
        <v>1649</v>
      </c>
      <c r="B84" s="177" t="s">
        <v>1418</v>
      </c>
      <c r="C84" s="148">
        <v>0</v>
      </c>
      <c r="D84" s="149">
        <f t="shared" si="2"/>
        <v>0</v>
      </c>
      <c r="E84" s="137" t="s">
        <v>677</v>
      </c>
    </row>
    <row r="85" spans="1:6" x14ac:dyDescent="0.25">
      <c r="A85" s="150" t="s">
        <v>1650</v>
      </c>
      <c r="B85" s="176" t="s">
        <v>1679</v>
      </c>
      <c r="C85" s="152">
        <v>0</v>
      </c>
      <c r="D85" s="153">
        <f t="shared" si="2"/>
        <v>0</v>
      </c>
      <c r="E85" s="138" t="s">
        <v>678</v>
      </c>
    </row>
    <row r="86" spans="1:6" x14ac:dyDescent="0.25">
      <c r="A86" s="150" t="s">
        <v>1651</v>
      </c>
      <c r="B86" s="176" t="s">
        <v>511</v>
      </c>
      <c r="C86" s="152">
        <v>0</v>
      </c>
      <c r="D86" s="153">
        <f t="shared" si="2"/>
        <v>0</v>
      </c>
      <c r="E86" s="138" t="s">
        <v>678</v>
      </c>
    </row>
    <row r="87" spans="1:6" x14ac:dyDescent="0.25">
      <c r="A87" s="154" t="s">
        <v>1652</v>
      </c>
      <c r="B87" s="178" t="s">
        <v>1431</v>
      </c>
      <c r="C87" s="156">
        <v>0</v>
      </c>
      <c r="D87" s="157">
        <f t="shared" si="2"/>
        <v>0</v>
      </c>
      <c r="E87" s="139" t="s">
        <v>679</v>
      </c>
    </row>
    <row r="88" spans="1:6" ht="12" customHeight="1" x14ac:dyDescent="0.25">
      <c r="A88" s="190" t="s">
        <v>1653</v>
      </c>
      <c r="B88" s="204" t="s">
        <v>1427</v>
      </c>
      <c r="C88" s="188">
        <v>0</v>
      </c>
      <c r="D88" s="189">
        <f t="shared" si="2"/>
        <v>0</v>
      </c>
      <c r="E88" s="140" t="s">
        <v>680</v>
      </c>
    </row>
    <row r="89" spans="1:6" ht="12" customHeight="1" x14ac:dyDescent="0.25">
      <c r="A89" s="154" t="s">
        <v>1654</v>
      </c>
      <c r="B89" s="178" t="s">
        <v>1428</v>
      </c>
      <c r="C89" s="156">
        <v>0</v>
      </c>
      <c r="D89" s="157">
        <f t="shared" si="2"/>
        <v>0</v>
      </c>
      <c r="E89" s="139" t="s">
        <v>679</v>
      </c>
    </row>
    <row r="90" spans="1:6" x14ac:dyDescent="0.25">
      <c r="A90" s="150" t="s">
        <v>1655</v>
      </c>
      <c r="B90" s="176" t="s">
        <v>1429</v>
      </c>
      <c r="C90" s="152">
        <v>0</v>
      </c>
      <c r="D90" s="153">
        <f t="shared" si="2"/>
        <v>0</v>
      </c>
      <c r="E90" s="138" t="s">
        <v>678</v>
      </c>
    </row>
    <row r="91" spans="1:6" x14ac:dyDescent="0.25">
      <c r="A91" s="190" t="s">
        <v>1656</v>
      </c>
      <c r="B91" s="204" t="s">
        <v>1680</v>
      </c>
      <c r="C91" s="188">
        <v>0</v>
      </c>
      <c r="D91" s="189">
        <f t="shared" si="2"/>
        <v>0</v>
      </c>
      <c r="E91" s="140" t="s">
        <v>680</v>
      </c>
    </row>
    <row r="92" spans="1:6" x14ac:dyDescent="0.25">
      <c r="A92" s="190" t="s">
        <v>1657</v>
      </c>
      <c r="B92" s="204" t="s">
        <v>322</v>
      </c>
      <c r="C92" s="188">
        <v>0</v>
      </c>
      <c r="D92" s="189">
        <f t="shared" si="2"/>
        <v>0</v>
      </c>
      <c r="E92" s="140" t="s">
        <v>680</v>
      </c>
    </row>
    <row r="93" spans="1:6" x14ac:dyDescent="0.25">
      <c r="A93" s="190" t="s">
        <v>1658</v>
      </c>
      <c r="B93" s="204" t="s">
        <v>429</v>
      </c>
      <c r="C93" s="188">
        <v>0</v>
      </c>
      <c r="D93" s="189">
        <f t="shared" si="2"/>
        <v>0</v>
      </c>
      <c r="E93" s="140" t="s">
        <v>680</v>
      </c>
    </row>
    <row r="94" spans="1:6" x14ac:dyDescent="0.25">
      <c r="A94" s="190" t="s">
        <v>1659</v>
      </c>
      <c r="B94" s="204" t="s">
        <v>256</v>
      </c>
      <c r="C94" s="188">
        <v>0</v>
      </c>
      <c r="D94" s="189">
        <f t="shared" si="2"/>
        <v>0</v>
      </c>
      <c r="E94" s="140" t="s">
        <v>680</v>
      </c>
      <c r="F94" s="67" t="s">
        <v>163</v>
      </c>
    </row>
    <row r="95" spans="1:6" x14ac:dyDescent="0.25">
      <c r="A95" s="142" t="s">
        <v>1660</v>
      </c>
      <c r="B95" s="203" t="s">
        <v>1021</v>
      </c>
      <c r="C95" s="144">
        <v>0</v>
      </c>
      <c r="D95" s="145">
        <f t="shared" si="2"/>
        <v>0</v>
      </c>
      <c r="E95" s="141" t="s">
        <v>681</v>
      </c>
      <c r="F95" s="67" t="s">
        <v>158</v>
      </c>
    </row>
    <row r="96" spans="1:6" x14ac:dyDescent="0.25">
      <c r="A96" s="94" t="s">
        <v>101</v>
      </c>
      <c r="B96" s="99" t="s">
        <v>261</v>
      </c>
      <c r="C96" s="68">
        <f>SUM(C98:C108)</f>
        <v>0</v>
      </c>
      <c r="D96" s="66">
        <f t="shared" si="2"/>
        <v>0</v>
      </c>
    </row>
    <row r="97" spans="1:8" x14ac:dyDescent="0.25">
      <c r="A97" s="87" t="s">
        <v>107</v>
      </c>
      <c r="B97" s="111" t="str">
        <f>DG!D93</f>
        <v>Statia 110/20 kV PAL Neamt, jud. NT</v>
      </c>
      <c r="C97" s="89"/>
      <c r="D97" s="66"/>
    </row>
    <row r="98" spans="1:8" x14ac:dyDescent="0.25">
      <c r="A98" s="158" t="s">
        <v>1681</v>
      </c>
      <c r="B98" s="172" t="s">
        <v>1692</v>
      </c>
      <c r="C98" s="148">
        <v>0</v>
      </c>
      <c r="D98" s="149">
        <f t="shared" si="2"/>
        <v>0</v>
      </c>
      <c r="E98" s="137" t="s">
        <v>677</v>
      </c>
      <c r="G98" s="137" t="s">
        <v>677</v>
      </c>
      <c r="H98" s="133">
        <f>C98</f>
        <v>0</v>
      </c>
    </row>
    <row r="99" spans="1:8" x14ac:dyDescent="0.25">
      <c r="A99" s="162" t="s">
        <v>1682</v>
      </c>
      <c r="B99" s="173" t="s">
        <v>1693</v>
      </c>
      <c r="C99" s="152">
        <v>0</v>
      </c>
      <c r="D99" s="153">
        <f t="shared" si="2"/>
        <v>0</v>
      </c>
      <c r="E99" s="138" t="s">
        <v>678</v>
      </c>
      <c r="G99" s="138" t="s">
        <v>678</v>
      </c>
      <c r="H99" s="133">
        <f>C99+SUM(C101:C103)</f>
        <v>0</v>
      </c>
    </row>
    <row r="100" spans="1:8" ht="12" customHeight="1" x14ac:dyDescent="0.25">
      <c r="A100" s="160" t="s">
        <v>1683</v>
      </c>
      <c r="B100" s="171" t="s">
        <v>1694</v>
      </c>
      <c r="C100" s="156">
        <v>0</v>
      </c>
      <c r="D100" s="157">
        <f t="shared" si="2"/>
        <v>0</v>
      </c>
      <c r="E100" s="139" t="s">
        <v>679</v>
      </c>
      <c r="G100" s="139" t="s">
        <v>679</v>
      </c>
      <c r="H100" s="133">
        <f>C100+C104+C105+C107</f>
        <v>0</v>
      </c>
    </row>
    <row r="101" spans="1:8" ht="12" customHeight="1" x14ac:dyDescent="0.25">
      <c r="A101" s="162" t="s">
        <v>1684</v>
      </c>
      <c r="B101" s="173" t="s">
        <v>1695</v>
      </c>
      <c r="C101" s="152">
        <v>0</v>
      </c>
      <c r="D101" s="153">
        <f t="shared" si="2"/>
        <v>0</v>
      </c>
      <c r="E101" s="138" t="s">
        <v>678</v>
      </c>
      <c r="G101" s="140" t="s">
        <v>680</v>
      </c>
      <c r="H101" s="133">
        <f>C106+C108</f>
        <v>0</v>
      </c>
    </row>
    <row r="102" spans="1:8" x14ac:dyDescent="0.25">
      <c r="A102" s="162" t="s">
        <v>1685</v>
      </c>
      <c r="B102" s="173" t="s">
        <v>1696</v>
      </c>
      <c r="C102" s="152">
        <v>0</v>
      </c>
      <c r="D102" s="153">
        <f t="shared" si="2"/>
        <v>0</v>
      </c>
      <c r="E102" s="138" t="s">
        <v>678</v>
      </c>
    </row>
    <row r="103" spans="1:8" x14ac:dyDescent="0.25">
      <c r="A103" s="162" t="s">
        <v>1686</v>
      </c>
      <c r="B103" s="173" t="s">
        <v>1697</v>
      </c>
      <c r="C103" s="152">
        <v>0</v>
      </c>
      <c r="D103" s="153">
        <f t="shared" si="2"/>
        <v>0</v>
      </c>
      <c r="E103" s="138" t="s">
        <v>678</v>
      </c>
      <c r="H103" s="169">
        <f>C96-H98-H99-H100-H101</f>
        <v>0</v>
      </c>
    </row>
    <row r="104" spans="1:8" ht="12" customHeight="1" x14ac:dyDescent="0.25">
      <c r="A104" s="160" t="s">
        <v>1687</v>
      </c>
      <c r="B104" s="171" t="s">
        <v>1698</v>
      </c>
      <c r="C104" s="156">
        <v>0</v>
      </c>
      <c r="D104" s="157">
        <f t="shared" si="2"/>
        <v>0</v>
      </c>
      <c r="E104" s="139" t="s">
        <v>679</v>
      </c>
    </row>
    <row r="105" spans="1:8" ht="12" customHeight="1" x14ac:dyDescent="0.25">
      <c r="A105" s="160" t="s">
        <v>1688</v>
      </c>
      <c r="B105" s="171" t="s">
        <v>1699</v>
      </c>
      <c r="C105" s="156">
        <v>0</v>
      </c>
      <c r="D105" s="157">
        <f t="shared" si="2"/>
        <v>0</v>
      </c>
      <c r="E105" s="139" t="s">
        <v>679</v>
      </c>
    </row>
    <row r="106" spans="1:8" ht="12" customHeight="1" x14ac:dyDescent="0.25">
      <c r="A106" s="194" t="s">
        <v>1689</v>
      </c>
      <c r="B106" s="199" t="s">
        <v>1700</v>
      </c>
      <c r="C106" s="188">
        <v>0</v>
      </c>
      <c r="D106" s="189">
        <f t="shared" ref="D106:D108" si="3">C106</f>
        <v>0</v>
      </c>
      <c r="E106" s="140" t="s">
        <v>680</v>
      </c>
    </row>
    <row r="107" spans="1:8" ht="12" customHeight="1" x14ac:dyDescent="0.25">
      <c r="A107" s="160" t="s">
        <v>1690</v>
      </c>
      <c r="B107" s="171" t="s">
        <v>1701</v>
      </c>
      <c r="C107" s="156">
        <v>0</v>
      </c>
      <c r="D107" s="157">
        <f t="shared" si="3"/>
        <v>0</v>
      </c>
      <c r="E107" s="139" t="s">
        <v>679</v>
      </c>
    </row>
    <row r="108" spans="1:8" ht="12" customHeight="1" x14ac:dyDescent="0.25">
      <c r="A108" s="194" t="s">
        <v>1691</v>
      </c>
      <c r="B108" s="199" t="s">
        <v>431</v>
      </c>
      <c r="C108" s="188">
        <v>0</v>
      </c>
      <c r="D108" s="189">
        <f t="shared" si="3"/>
        <v>0</v>
      </c>
      <c r="E108" s="140" t="s">
        <v>680</v>
      </c>
    </row>
    <row r="109" spans="1:8" x14ac:dyDescent="0.25">
      <c r="A109" s="94" t="s">
        <v>110</v>
      </c>
      <c r="B109" s="99" t="s">
        <v>270</v>
      </c>
      <c r="C109" s="68">
        <f>SUM(C111:C122)</f>
        <v>0</v>
      </c>
      <c r="D109" s="68">
        <f>SUM(D111:D122)</f>
        <v>0</v>
      </c>
    </row>
    <row r="110" spans="1:8" x14ac:dyDescent="0.25">
      <c r="A110" s="88" t="s">
        <v>116</v>
      </c>
      <c r="B110" s="111" t="str">
        <f>DG!D106</f>
        <v>Statia 110/20 kV PAL Neamt, jud. NT</v>
      </c>
      <c r="C110" s="89"/>
      <c r="D110" s="90"/>
    </row>
    <row r="111" spans="1:8" x14ac:dyDescent="0.25">
      <c r="A111" s="158" t="s">
        <v>1702</v>
      </c>
      <c r="B111" s="172" t="s">
        <v>1455</v>
      </c>
      <c r="C111" s="148">
        <v>0</v>
      </c>
      <c r="D111" s="159">
        <v>0</v>
      </c>
      <c r="E111" s="137" t="s">
        <v>677</v>
      </c>
      <c r="G111" s="137" t="s">
        <v>677</v>
      </c>
      <c r="H111" s="164">
        <f>C111</f>
        <v>0</v>
      </c>
    </row>
    <row r="112" spans="1:8" ht="12" customHeight="1" x14ac:dyDescent="0.25">
      <c r="A112" s="162" t="s">
        <v>1703</v>
      </c>
      <c r="B112" s="173" t="s">
        <v>1713</v>
      </c>
      <c r="C112" s="152">
        <v>0</v>
      </c>
      <c r="D112" s="163">
        <v>0</v>
      </c>
      <c r="E112" s="138" t="s">
        <v>678</v>
      </c>
      <c r="G112" s="138" t="s">
        <v>678</v>
      </c>
      <c r="H112" s="133">
        <f>C112+C114+C119</f>
        <v>0</v>
      </c>
    </row>
    <row r="113" spans="1:8" ht="12" customHeight="1" x14ac:dyDescent="0.25">
      <c r="A113" s="160" t="s">
        <v>1704</v>
      </c>
      <c r="B113" s="171" t="s">
        <v>1592</v>
      </c>
      <c r="C113" s="156">
        <v>0</v>
      </c>
      <c r="D113" s="161">
        <v>0</v>
      </c>
      <c r="E113" s="139" t="s">
        <v>679</v>
      </c>
      <c r="G113" s="139" t="s">
        <v>679</v>
      </c>
      <c r="H113" s="133">
        <f>C113+C116+C120</f>
        <v>0</v>
      </c>
    </row>
    <row r="114" spans="1:8" x14ac:dyDescent="0.25">
      <c r="A114" s="162" t="s">
        <v>1705</v>
      </c>
      <c r="B114" s="173" t="s">
        <v>1714</v>
      </c>
      <c r="C114" s="152">
        <v>0</v>
      </c>
      <c r="D114" s="163">
        <v>0</v>
      </c>
      <c r="E114" s="138" t="s">
        <v>678</v>
      </c>
      <c r="G114" s="140" t="s">
        <v>680</v>
      </c>
      <c r="H114" s="133">
        <f>C115+C117+C118+C121+C122</f>
        <v>0</v>
      </c>
    </row>
    <row r="115" spans="1:8" x14ac:dyDescent="0.25">
      <c r="A115" s="194" t="s">
        <v>1706</v>
      </c>
      <c r="B115" s="199" t="s">
        <v>1593</v>
      </c>
      <c r="C115" s="188">
        <v>0</v>
      </c>
      <c r="D115" s="197">
        <v>0</v>
      </c>
      <c r="E115" s="140" t="s">
        <v>680</v>
      </c>
    </row>
    <row r="116" spans="1:8" ht="12" customHeight="1" x14ac:dyDescent="0.25">
      <c r="A116" s="160" t="s">
        <v>1707</v>
      </c>
      <c r="B116" s="171" t="s">
        <v>1715</v>
      </c>
      <c r="C116" s="156">
        <v>0</v>
      </c>
      <c r="D116" s="161">
        <v>0</v>
      </c>
      <c r="E116" s="139" t="s">
        <v>679</v>
      </c>
      <c r="H116" s="169">
        <f>C109-H111-H112-H113-H114</f>
        <v>0</v>
      </c>
    </row>
    <row r="117" spans="1:8" ht="12" customHeight="1" x14ac:dyDescent="0.25">
      <c r="A117" s="194" t="s">
        <v>1708</v>
      </c>
      <c r="B117" s="199" t="s">
        <v>1595</v>
      </c>
      <c r="C117" s="188">
        <v>0</v>
      </c>
      <c r="D117" s="197">
        <v>0</v>
      </c>
      <c r="E117" s="140" t="s">
        <v>680</v>
      </c>
    </row>
    <row r="118" spans="1:8" ht="12" customHeight="1" x14ac:dyDescent="0.25">
      <c r="A118" s="194" t="s">
        <v>1709</v>
      </c>
      <c r="B118" s="199" t="s">
        <v>1596</v>
      </c>
      <c r="C118" s="188">
        <v>0</v>
      </c>
      <c r="D118" s="197">
        <v>0</v>
      </c>
      <c r="E118" s="140" t="s">
        <v>680</v>
      </c>
    </row>
    <row r="119" spans="1:8" ht="12" customHeight="1" x14ac:dyDescent="0.25">
      <c r="A119" s="162" t="s">
        <v>1710</v>
      </c>
      <c r="B119" s="173" t="s">
        <v>1597</v>
      </c>
      <c r="C119" s="152">
        <v>0</v>
      </c>
      <c r="D119" s="163">
        <v>0</v>
      </c>
      <c r="E119" s="138" t="s">
        <v>678</v>
      </c>
    </row>
    <row r="120" spans="1:8" ht="12.6" customHeight="1" x14ac:dyDescent="0.25">
      <c r="A120" s="160" t="s">
        <v>1711</v>
      </c>
      <c r="B120" s="171" t="s">
        <v>1462</v>
      </c>
      <c r="C120" s="156">
        <v>0</v>
      </c>
      <c r="D120" s="161">
        <v>0</v>
      </c>
      <c r="E120" s="139" t="s">
        <v>679</v>
      </c>
    </row>
    <row r="121" spans="1:8" ht="12.6" customHeight="1" x14ac:dyDescent="0.25">
      <c r="A121" s="194" t="s">
        <v>1712</v>
      </c>
      <c r="B121" s="199" t="s">
        <v>1463</v>
      </c>
      <c r="C121" s="188">
        <v>0</v>
      </c>
      <c r="D121" s="197">
        <v>0</v>
      </c>
      <c r="E121" s="140" t="s">
        <v>680</v>
      </c>
    </row>
    <row r="122" spans="1:8" ht="12" customHeight="1" x14ac:dyDescent="0.25">
      <c r="A122" s="194" t="s">
        <v>1716</v>
      </c>
      <c r="B122" s="199" t="s">
        <v>1464</v>
      </c>
      <c r="C122" s="188">
        <v>0</v>
      </c>
      <c r="D122" s="197">
        <v>0</v>
      </c>
      <c r="E122" s="140" t="s">
        <v>680</v>
      </c>
    </row>
    <row r="123" spans="1:8" ht="12" customHeight="1" x14ac:dyDescent="0.25">
      <c r="A123" s="74" t="s">
        <v>119</v>
      </c>
      <c r="B123" s="83" t="s">
        <v>282</v>
      </c>
      <c r="C123" s="73">
        <v>0</v>
      </c>
      <c r="D123" s="73">
        <v>0</v>
      </c>
    </row>
    <row r="124" spans="1:8" x14ac:dyDescent="0.25">
      <c r="A124" s="74" t="s">
        <v>121</v>
      </c>
      <c r="B124" s="72" t="s">
        <v>283</v>
      </c>
      <c r="C124" s="73">
        <v>0</v>
      </c>
      <c r="D124" s="73">
        <v>0</v>
      </c>
    </row>
    <row r="125" spans="1:8" x14ac:dyDescent="0.25">
      <c r="A125" s="74" t="s">
        <v>123</v>
      </c>
      <c r="B125" s="72" t="s">
        <v>284</v>
      </c>
      <c r="C125" s="73">
        <v>0</v>
      </c>
      <c r="D125" s="73">
        <v>0</v>
      </c>
    </row>
    <row r="126" spans="1:8" x14ac:dyDescent="0.25">
      <c r="A126" s="74" t="s">
        <v>127</v>
      </c>
      <c r="B126" s="72" t="s">
        <v>285</v>
      </c>
      <c r="C126" s="73">
        <v>0</v>
      </c>
      <c r="D126" s="73">
        <v>0</v>
      </c>
    </row>
    <row r="127" spans="1:8" x14ac:dyDescent="0.25">
      <c r="A127" s="74" t="s">
        <v>286</v>
      </c>
      <c r="B127" s="77" t="s">
        <v>287</v>
      </c>
      <c r="C127" s="73">
        <v>0</v>
      </c>
      <c r="D127" s="73">
        <v>0</v>
      </c>
    </row>
    <row r="128" spans="1:8" x14ac:dyDescent="0.25">
      <c r="A128" s="74" t="s">
        <v>288</v>
      </c>
      <c r="B128" s="72" t="s">
        <v>289</v>
      </c>
      <c r="C128" s="73">
        <v>0</v>
      </c>
      <c r="D128" s="73">
        <v>0</v>
      </c>
    </row>
    <row r="129" spans="1:4" x14ac:dyDescent="0.25">
      <c r="A129" s="74" t="s">
        <v>150</v>
      </c>
      <c r="B129" s="72" t="s">
        <v>290</v>
      </c>
      <c r="C129" s="73">
        <v>0</v>
      </c>
      <c r="D129" s="73">
        <v>0</v>
      </c>
    </row>
    <row r="130" spans="1:4" x14ac:dyDescent="0.25">
      <c r="A130" s="274" t="s">
        <v>291</v>
      </c>
      <c r="B130" s="274"/>
      <c r="C130" s="73">
        <f>C13+C40+C41+C48</f>
        <v>0</v>
      </c>
      <c r="D130" s="73">
        <f>D13+D40+D41+D48</f>
        <v>0</v>
      </c>
    </row>
    <row r="131" spans="1:4" x14ac:dyDescent="0.25">
      <c r="A131" s="274" t="s">
        <v>292</v>
      </c>
      <c r="B131" s="274"/>
      <c r="C131" s="73">
        <f>C130*19%</f>
        <v>0</v>
      </c>
      <c r="D131" s="73">
        <f>D130*19%</f>
        <v>0</v>
      </c>
    </row>
    <row r="132" spans="1:4" x14ac:dyDescent="0.25">
      <c r="A132" s="274" t="s">
        <v>293</v>
      </c>
      <c r="B132" s="274"/>
      <c r="C132" s="73">
        <f>C130+C131</f>
        <v>0</v>
      </c>
      <c r="D132" s="73">
        <f>D130+D131</f>
        <v>0</v>
      </c>
    </row>
  </sheetData>
  <mergeCells count="12">
    <mergeCell ref="A9:B9"/>
    <mergeCell ref="C9:D9"/>
    <mergeCell ref="A1:B1"/>
    <mergeCell ref="A2:B2"/>
    <mergeCell ref="A3:D3"/>
    <mergeCell ref="A4:D4"/>
    <mergeCell ref="B6:D6"/>
    <mergeCell ref="A10:A11"/>
    <mergeCell ref="B10:B11"/>
    <mergeCell ref="A130:B130"/>
    <mergeCell ref="A131:B131"/>
    <mergeCell ref="A132:B132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DFC5-A363-4F99-9847-AA2936BD53AD}">
  <dimension ref="A1:X113"/>
  <sheetViews>
    <sheetView view="pageBreakPreview" zoomScale="85" zoomScaleNormal="100" zoomScaleSheetLayoutView="85" workbookViewId="0">
      <pane ySplit="7" topLeftCell="A91" activePane="bottomLeft" state="frozen"/>
      <selection pane="bottomLeft" activeCell="A96" sqref="A96:XFD113"/>
    </sheetView>
  </sheetViews>
  <sheetFormatPr defaultRowHeight="12" outlineLevelCol="1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7" width="12.19921875" style="1" hidden="1" customWidth="1" outlineLevel="1"/>
    <col min="8" max="11" width="12.19921875" style="1" customWidth="1" outlineLevel="1"/>
    <col min="12" max="16" width="12.19921875" style="1" hidden="1" customWidth="1" outlineLevel="1"/>
    <col min="17" max="17" width="12.19921875" style="1" customWidth="1"/>
    <col min="18" max="18" width="11.5" style="1" customWidth="1"/>
    <col min="19" max="19" width="10.5" style="1" customWidth="1"/>
    <col min="20" max="20" width="11.19921875" style="1" customWidth="1"/>
    <col min="21" max="21" width="10" style="1" customWidth="1"/>
    <col min="22" max="22" width="6.69921875" style="1" customWidth="1"/>
    <col min="23" max="23" width="16.59765625" style="1" customWidth="1"/>
    <col min="24" max="254" width="8.69921875" style="1"/>
    <col min="255" max="255" width="3.8984375" style="1" customWidth="1"/>
    <col min="256" max="256" width="4.09765625" style="1" customWidth="1"/>
    <col min="257" max="257" width="19.19921875" style="1" customWidth="1"/>
    <col min="258" max="258" width="25.09765625" style="1" customWidth="1"/>
    <col min="259" max="259" width="9.3984375" style="1" customWidth="1"/>
    <col min="260" max="260" width="9.8984375" style="1" bestFit="1" customWidth="1"/>
    <col min="261" max="261" width="9.09765625" style="1" customWidth="1"/>
    <col min="262" max="262" width="10.69921875" style="1" customWidth="1"/>
    <col min="263" max="263" width="9.5" style="1" customWidth="1"/>
    <col min="264" max="264" width="10.19921875" style="1" customWidth="1"/>
    <col min="265" max="265" width="9" style="1" customWidth="1"/>
    <col min="266" max="267" width="4.19921875" style="1" customWidth="1"/>
    <col min="268" max="268" width="8.59765625" style="1" customWidth="1"/>
    <col min="269" max="269" width="4.19921875" style="1" customWidth="1"/>
    <col min="270" max="270" width="11.59765625" style="1" customWidth="1"/>
    <col min="271" max="510" width="8.69921875" style="1"/>
    <col min="511" max="511" width="3.8984375" style="1" customWidth="1"/>
    <col min="512" max="512" width="4.09765625" style="1" customWidth="1"/>
    <col min="513" max="513" width="19.19921875" style="1" customWidth="1"/>
    <col min="514" max="514" width="25.09765625" style="1" customWidth="1"/>
    <col min="515" max="515" width="9.3984375" style="1" customWidth="1"/>
    <col min="516" max="516" width="9.8984375" style="1" bestFit="1" customWidth="1"/>
    <col min="517" max="517" width="9.09765625" style="1" customWidth="1"/>
    <col min="518" max="518" width="10.69921875" style="1" customWidth="1"/>
    <col min="519" max="519" width="9.5" style="1" customWidth="1"/>
    <col min="520" max="520" width="10.19921875" style="1" customWidth="1"/>
    <col min="521" max="521" width="9" style="1" customWidth="1"/>
    <col min="522" max="523" width="4.19921875" style="1" customWidth="1"/>
    <col min="524" max="524" width="8.59765625" style="1" customWidth="1"/>
    <col min="525" max="525" width="4.19921875" style="1" customWidth="1"/>
    <col min="526" max="526" width="11.59765625" style="1" customWidth="1"/>
    <col min="527" max="766" width="8.69921875" style="1"/>
    <col min="767" max="767" width="3.8984375" style="1" customWidth="1"/>
    <col min="768" max="768" width="4.09765625" style="1" customWidth="1"/>
    <col min="769" max="769" width="19.19921875" style="1" customWidth="1"/>
    <col min="770" max="770" width="25.09765625" style="1" customWidth="1"/>
    <col min="771" max="771" width="9.3984375" style="1" customWidth="1"/>
    <col min="772" max="772" width="9.8984375" style="1" bestFit="1" customWidth="1"/>
    <col min="773" max="773" width="9.09765625" style="1" customWidth="1"/>
    <col min="774" max="774" width="10.69921875" style="1" customWidth="1"/>
    <col min="775" max="775" width="9.5" style="1" customWidth="1"/>
    <col min="776" max="776" width="10.19921875" style="1" customWidth="1"/>
    <col min="777" max="777" width="9" style="1" customWidth="1"/>
    <col min="778" max="779" width="4.19921875" style="1" customWidth="1"/>
    <col min="780" max="780" width="8.59765625" style="1" customWidth="1"/>
    <col min="781" max="781" width="4.19921875" style="1" customWidth="1"/>
    <col min="782" max="782" width="11.59765625" style="1" customWidth="1"/>
    <col min="783" max="1022" width="8.69921875" style="1"/>
    <col min="1023" max="1023" width="3.8984375" style="1" customWidth="1"/>
    <col min="1024" max="1024" width="4.09765625" style="1" customWidth="1"/>
    <col min="1025" max="1025" width="19.19921875" style="1" customWidth="1"/>
    <col min="1026" max="1026" width="25.09765625" style="1" customWidth="1"/>
    <col min="1027" max="1027" width="9.3984375" style="1" customWidth="1"/>
    <col min="1028" max="1028" width="9.8984375" style="1" bestFit="1" customWidth="1"/>
    <col min="1029" max="1029" width="9.09765625" style="1" customWidth="1"/>
    <col min="1030" max="1030" width="10.69921875" style="1" customWidth="1"/>
    <col min="1031" max="1031" width="9.5" style="1" customWidth="1"/>
    <col min="1032" max="1032" width="10.19921875" style="1" customWidth="1"/>
    <col min="1033" max="1033" width="9" style="1" customWidth="1"/>
    <col min="1034" max="1035" width="4.19921875" style="1" customWidth="1"/>
    <col min="1036" max="1036" width="8.59765625" style="1" customWidth="1"/>
    <col min="1037" max="1037" width="4.19921875" style="1" customWidth="1"/>
    <col min="1038" max="1038" width="11.59765625" style="1" customWidth="1"/>
    <col min="1039" max="1278" width="8.69921875" style="1"/>
    <col min="1279" max="1279" width="3.8984375" style="1" customWidth="1"/>
    <col min="1280" max="1280" width="4.09765625" style="1" customWidth="1"/>
    <col min="1281" max="1281" width="19.19921875" style="1" customWidth="1"/>
    <col min="1282" max="1282" width="25.09765625" style="1" customWidth="1"/>
    <col min="1283" max="1283" width="9.3984375" style="1" customWidth="1"/>
    <col min="1284" max="1284" width="9.8984375" style="1" bestFit="1" customWidth="1"/>
    <col min="1285" max="1285" width="9.09765625" style="1" customWidth="1"/>
    <col min="1286" max="1286" width="10.69921875" style="1" customWidth="1"/>
    <col min="1287" max="1287" width="9.5" style="1" customWidth="1"/>
    <col min="1288" max="1288" width="10.19921875" style="1" customWidth="1"/>
    <col min="1289" max="1289" width="9" style="1" customWidth="1"/>
    <col min="1290" max="1291" width="4.19921875" style="1" customWidth="1"/>
    <col min="1292" max="1292" width="8.59765625" style="1" customWidth="1"/>
    <col min="1293" max="1293" width="4.19921875" style="1" customWidth="1"/>
    <col min="1294" max="1294" width="11.59765625" style="1" customWidth="1"/>
    <col min="1295" max="1534" width="8.69921875" style="1"/>
    <col min="1535" max="1535" width="3.8984375" style="1" customWidth="1"/>
    <col min="1536" max="1536" width="4.09765625" style="1" customWidth="1"/>
    <col min="1537" max="1537" width="19.19921875" style="1" customWidth="1"/>
    <col min="1538" max="1538" width="25.09765625" style="1" customWidth="1"/>
    <col min="1539" max="1539" width="9.3984375" style="1" customWidth="1"/>
    <col min="1540" max="1540" width="9.8984375" style="1" bestFit="1" customWidth="1"/>
    <col min="1541" max="1541" width="9.09765625" style="1" customWidth="1"/>
    <col min="1542" max="1542" width="10.69921875" style="1" customWidth="1"/>
    <col min="1543" max="1543" width="9.5" style="1" customWidth="1"/>
    <col min="1544" max="1544" width="10.19921875" style="1" customWidth="1"/>
    <col min="1545" max="1545" width="9" style="1" customWidth="1"/>
    <col min="1546" max="1547" width="4.19921875" style="1" customWidth="1"/>
    <col min="1548" max="1548" width="8.59765625" style="1" customWidth="1"/>
    <col min="1549" max="1549" width="4.19921875" style="1" customWidth="1"/>
    <col min="1550" max="1550" width="11.59765625" style="1" customWidth="1"/>
    <col min="1551" max="1790" width="8.69921875" style="1"/>
    <col min="1791" max="1791" width="3.8984375" style="1" customWidth="1"/>
    <col min="1792" max="1792" width="4.09765625" style="1" customWidth="1"/>
    <col min="1793" max="1793" width="19.19921875" style="1" customWidth="1"/>
    <col min="1794" max="1794" width="25.09765625" style="1" customWidth="1"/>
    <col min="1795" max="1795" width="9.3984375" style="1" customWidth="1"/>
    <col min="1796" max="1796" width="9.8984375" style="1" bestFit="1" customWidth="1"/>
    <col min="1797" max="1797" width="9.09765625" style="1" customWidth="1"/>
    <col min="1798" max="1798" width="10.69921875" style="1" customWidth="1"/>
    <col min="1799" max="1799" width="9.5" style="1" customWidth="1"/>
    <col min="1800" max="1800" width="10.19921875" style="1" customWidth="1"/>
    <col min="1801" max="1801" width="9" style="1" customWidth="1"/>
    <col min="1802" max="1803" width="4.19921875" style="1" customWidth="1"/>
    <col min="1804" max="1804" width="8.59765625" style="1" customWidth="1"/>
    <col min="1805" max="1805" width="4.19921875" style="1" customWidth="1"/>
    <col min="1806" max="1806" width="11.59765625" style="1" customWidth="1"/>
    <col min="1807" max="2046" width="8.69921875" style="1"/>
    <col min="2047" max="2047" width="3.8984375" style="1" customWidth="1"/>
    <col min="2048" max="2048" width="4.09765625" style="1" customWidth="1"/>
    <col min="2049" max="2049" width="19.19921875" style="1" customWidth="1"/>
    <col min="2050" max="2050" width="25.09765625" style="1" customWidth="1"/>
    <col min="2051" max="2051" width="9.3984375" style="1" customWidth="1"/>
    <col min="2052" max="2052" width="9.8984375" style="1" bestFit="1" customWidth="1"/>
    <col min="2053" max="2053" width="9.09765625" style="1" customWidth="1"/>
    <col min="2054" max="2054" width="10.69921875" style="1" customWidth="1"/>
    <col min="2055" max="2055" width="9.5" style="1" customWidth="1"/>
    <col min="2056" max="2056" width="10.19921875" style="1" customWidth="1"/>
    <col min="2057" max="2057" width="9" style="1" customWidth="1"/>
    <col min="2058" max="2059" width="4.19921875" style="1" customWidth="1"/>
    <col min="2060" max="2060" width="8.59765625" style="1" customWidth="1"/>
    <col min="2061" max="2061" width="4.19921875" style="1" customWidth="1"/>
    <col min="2062" max="2062" width="11.59765625" style="1" customWidth="1"/>
    <col min="2063" max="2302" width="8.69921875" style="1"/>
    <col min="2303" max="2303" width="3.8984375" style="1" customWidth="1"/>
    <col min="2304" max="2304" width="4.09765625" style="1" customWidth="1"/>
    <col min="2305" max="2305" width="19.19921875" style="1" customWidth="1"/>
    <col min="2306" max="2306" width="25.09765625" style="1" customWidth="1"/>
    <col min="2307" max="2307" width="9.3984375" style="1" customWidth="1"/>
    <col min="2308" max="2308" width="9.8984375" style="1" bestFit="1" customWidth="1"/>
    <col min="2309" max="2309" width="9.09765625" style="1" customWidth="1"/>
    <col min="2310" max="2310" width="10.69921875" style="1" customWidth="1"/>
    <col min="2311" max="2311" width="9.5" style="1" customWidth="1"/>
    <col min="2312" max="2312" width="10.19921875" style="1" customWidth="1"/>
    <col min="2313" max="2313" width="9" style="1" customWidth="1"/>
    <col min="2314" max="2315" width="4.19921875" style="1" customWidth="1"/>
    <col min="2316" max="2316" width="8.59765625" style="1" customWidth="1"/>
    <col min="2317" max="2317" width="4.19921875" style="1" customWidth="1"/>
    <col min="2318" max="2318" width="11.59765625" style="1" customWidth="1"/>
    <col min="2319" max="2558" width="8.69921875" style="1"/>
    <col min="2559" max="2559" width="3.8984375" style="1" customWidth="1"/>
    <col min="2560" max="2560" width="4.09765625" style="1" customWidth="1"/>
    <col min="2561" max="2561" width="19.19921875" style="1" customWidth="1"/>
    <col min="2562" max="2562" width="25.09765625" style="1" customWidth="1"/>
    <col min="2563" max="2563" width="9.3984375" style="1" customWidth="1"/>
    <col min="2564" max="2564" width="9.8984375" style="1" bestFit="1" customWidth="1"/>
    <col min="2565" max="2565" width="9.09765625" style="1" customWidth="1"/>
    <col min="2566" max="2566" width="10.69921875" style="1" customWidth="1"/>
    <col min="2567" max="2567" width="9.5" style="1" customWidth="1"/>
    <col min="2568" max="2568" width="10.19921875" style="1" customWidth="1"/>
    <col min="2569" max="2569" width="9" style="1" customWidth="1"/>
    <col min="2570" max="2571" width="4.19921875" style="1" customWidth="1"/>
    <col min="2572" max="2572" width="8.59765625" style="1" customWidth="1"/>
    <col min="2573" max="2573" width="4.19921875" style="1" customWidth="1"/>
    <col min="2574" max="2574" width="11.59765625" style="1" customWidth="1"/>
    <col min="2575" max="2814" width="8.69921875" style="1"/>
    <col min="2815" max="2815" width="3.8984375" style="1" customWidth="1"/>
    <col min="2816" max="2816" width="4.09765625" style="1" customWidth="1"/>
    <col min="2817" max="2817" width="19.19921875" style="1" customWidth="1"/>
    <col min="2818" max="2818" width="25.09765625" style="1" customWidth="1"/>
    <col min="2819" max="2819" width="9.3984375" style="1" customWidth="1"/>
    <col min="2820" max="2820" width="9.8984375" style="1" bestFit="1" customWidth="1"/>
    <col min="2821" max="2821" width="9.09765625" style="1" customWidth="1"/>
    <col min="2822" max="2822" width="10.69921875" style="1" customWidth="1"/>
    <col min="2823" max="2823" width="9.5" style="1" customWidth="1"/>
    <col min="2824" max="2824" width="10.19921875" style="1" customWidth="1"/>
    <col min="2825" max="2825" width="9" style="1" customWidth="1"/>
    <col min="2826" max="2827" width="4.19921875" style="1" customWidth="1"/>
    <col min="2828" max="2828" width="8.59765625" style="1" customWidth="1"/>
    <col min="2829" max="2829" width="4.19921875" style="1" customWidth="1"/>
    <col min="2830" max="2830" width="11.59765625" style="1" customWidth="1"/>
    <col min="2831" max="3070" width="8.69921875" style="1"/>
    <col min="3071" max="3071" width="3.8984375" style="1" customWidth="1"/>
    <col min="3072" max="3072" width="4.09765625" style="1" customWidth="1"/>
    <col min="3073" max="3073" width="19.19921875" style="1" customWidth="1"/>
    <col min="3074" max="3074" width="25.09765625" style="1" customWidth="1"/>
    <col min="3075" max="3075" width="9.3984375" style="1" customWidth="1"/>
    <col min="3076" max="3076" width="9.8984375" style="1" bestFit="1" customWidth="1"/>
    <col min="3077" max="3077" width="9.09765625" style="1" customWidth="1"/>
    <col min="3078" max="3078" width="10.69921875" style="1" customWidth="1"/>
    <col min="3079" max="3079" width="9.5" style="1" customWidth="1"/>
    <col min="3080" max="3080" width="10.19921875" style="1" customWidth="1"/>
    <col min="3081" max="3081" width="9" style="1" customWidth="1"/>
    <col min="3082" max="3083" width="4.19921875" style="1" customWidth="1"/>
    <col min="3084" max="3084" width="8.59765625" style="1" customWidth="1"/>
    <col min="3085" max="3085" width="4.19921875" style="1" customWidth="1"/>
    <col min="3086" max="3086" width="11.59765625" style="1" customWidth="1"/>
    <col min="3087" max="3326" width="8.69921875" style="1"/>
    <col min="3327" max="3327" width="3.8984375" style="1" customWidth="1"/>
    <col min="3328" max="3328" width="4.09765625" style="1" customWidth="1"/>
    <col min="3329" max="3329" width="19.19921875" style="1" customWidth="1"/>
    <col min="3330" max="3330" width="25.09765625" style="1" customWidth="1"/>
    <col min="3331" max="3331" width="9.3984375" style="1" customWidth="1"/>
    <col min="3332" max="3332" width="9.8984375" style="1" bestFit="1" customWidth="1"/>
    <col min="3333" max="3333" width="9.09765625" style="1" customWidth="1"/>
    <col min="3334" max="3334" width="10.69921875" style="1" customWidth="1"/>
    <col min="3335" max="3335" width="9.5" style="1" customWidth="1"/>
    <col min="3336" max="3336" width="10.19921875" style="1" customWidth="1"/>
    <col min="3337" max="3337" width="9" style="1" customWidth="1"/>
    <col min="3338" max="3339" width="4.19921875" style="1" customWidth="1"/>
    <col min="3340" max="3340" width="8.59765625" style="1" customWidth="1"/>
    <col min="3341" max="3341" width="4.19921875" style="1" customWidth="1"/>
    <col min="3342" max="3342" width="11.59765625" style="1" customWidth="1"/>
    <col min="3343" max="3582" width="8.69921875" style="1"/>
    <col min="3583" max="3583" width="3.8984375" style="1" customWidth="1"/>
    <col min="3584" max="3584" width="4.09765625" style="1" customWidth="1"/>
    <col min="3585" max="3585" width="19.19921875" style="1" customWidth="1"/>
    <col min="3586" max="3586" width="25.09765625" style="1" customWidth="1"/>
    <col min="3587" max="3587" width="9.3984375" style="1" customWidth="1"/>
    <col min="3588" max="3588" width="9.8984375" style="1" bestFit="1" customWidth="1"/>
    <col min="3589" max="3589" width="9.09765625" style="1" customWidth="1"/>
    <col min="3590" max="3590" width="10.69921875" style="1" customWidth="1"/>
    <col min="3591" max="3591" width="9.5" style="1" customWidth="1"/>
    <col min="3592" max="3592" width="10.19921875" style="1" customWidth="1"/>
    <col min="3593" max="3593" width="9" style="1" customWidth="1"/>
    <col min="3594" max="3595" width="4.19921875" style="1" customWidth="1"/>
    <col min="3596" max="3596" width="8.59765625" style="1" customWidth="1"/>
    <col min="3597" max="3597" width="4.19921875" style="1" customWidth="1"/>
    <col min="3598" max="3598" width="11.59765625" style="1" customWidth="1"/>
    <col min="3599" max="3838" width="8.69921875" style="1"/>
    <col min="3839" max="3839" width="3.8984375" style="1" customWidth="1"/>
    <col min="3840" max="3840" width="4.09765625" style="1" customWidth="1"/>
    <col min="3841" max="3841" width="19.19921875" style="1" customWidth="1"/>
    <col min="3842" max="3842" width="25.09765625" style="1" customWidth="1"/>
    <col min="3843" max="3843" width="9.3984375" style="1" customWidth="1"/>
    <col min="3844" max="3844" width="9.8984375" style="1" bestFit="1" customWidth="1"/>
    <col min="3845" max="3845" width="9.09765625" style="1" customWidth="1"/>
    <col min="3846" max="3846" width="10.69921875" style="1" customWidth="1"/>
    <col min="3847" max="3847" width="9.5" style="1" customWidth="1"/>
    <col min="3848" max="3848" width="10.19921875" style="1" customWidth="1"/>
    <col min="3849" max="3849" width="9" style="1" customWidth="1"/>
    <col min="3850" max="3851" width="4.19921875" style="1" customWidth="1"/>
    <col min="3852" max="3852" width="8.59765625" style="1" customWidth="1"/>
    <col min="3853" max="3853" width="4.19921875" style="1" customWidth="1"/>
    <col min="3854" max="3854" width="11.59765625" style="1" customWidth="1"/>
    <col min="3855" max="4094" width="8.69921875" style="1"/>
    <col min="4095" max="4095" width="3.8984375" style="1" customWidth="1"/>
    <col min="4096" max="4096" width="4.09765625" style="1" customWidth="1"/>
    <col min="4097" max="4097" width="19.19921875" style="1" customWidth="1"/>
    <col min="4098" max="4098" width="25.09765625" style="1" customWidth="1"/>
    <col min="4099" max="4099" width="9.3984375" style="1" customWidth="1"/>
    <col min="4100" max="4100" width="9.8984375" style="1" bestFit="1" customWidth="1"/>
    <col min="4101" max="4101" width="9.09765625" style="1" customWidth="1"/>
    <col min="4102" max="4102" width="10.69921875" style="1" customWidth="1"/>
    <col min="4103" max="4103" width="9.5" style="1" customWidth="1"/>
    <col min="4104" max="4104" width="10.19921875" style="1" customWidth="1"/>
    <col min="4105" max="4105" width="9" style="1" customWidth="1"/>
    <col min="4106" max="4107" width="4.19921875" style="1" customWidth="1"/>
    <col min="4108" max="4108" width="8.59765625" style="1" customWidth="1"/>
    <col min="4109" max="4109" width="4.19921875" style="1" customWidth="1"/>
    <col min="4110" max="4110" width="11.59765625" style="1" customWidth="1"/>
    <col min="4111" max="4350" width="8.69921875" style="1"/>
    <col min="4351" max="4351" width="3.8984375" style="1" customWidth="1"/>
    <col min="4352" max="4352" width="4.09765625" style="1" customWidth="1"/>
    <col min="4353" max="4353" width="19.19921875" style="1" customWidth="1"/>
    <col min="4354" max="4354" width="25.09765625" style="1" customWidth="1"/>
    <col min="4355" max="4355" width="9.3984375" style="1" customWidth="1"/>
    <col min="4356" max="4356" width="9.8984375" style="1" bestFit="1" customWidth="1"/>
    <col min="4357" max="4357" width="9.09765625" style="1" customWidth="1"/>
    <col min="4358" max="4358" width="10.69921875" style="1" customWidth="1"/>
    <col min="4359" max="4359" width="9.5" style="1" customWidth="1"/>
    <col min="4360" max="4360" width="10.19921875" style="1" customWidth="1"/>
    <col min="4361" max="4361" width="9" style="1" customWidth="1"/>
    <col min="4362" max="4363" width="4.19921875" style="1" customWidth="1"/>
    <col min="4364" max="4364" width="8.59765625" style="1" customWidth="1"/>
    <col min="4365" max="4365" width="4.19921875" style="1" customWidth="1"/>
    <col min="4366" max="4366" width="11.59765625" style="1" customWidth="1"/>
    <col min="4367" max="4606" width="8.69921875" style="1"/>
    <col min="4607" max="4607" width="3.8984375" style="1" customWidth="1"/>
    <col min="4608" max="4608" width="4.09765625" style="1" customWidth="1"/>
    <col min="4609" max="4609" width="19.19921875" style="1" customWidth="1"/>
    <col min="4610" max="4610" width="25.09765625" style="1" customWidth="1"/>
    <col min="4611" max="4611" width="9.3984375" style="1" customWidth="1"/>
    <col min="4612" max="4612" width="9.8984375" style="1" bestFit="1" customWidth="1"/>
    <col min="4613" max="4613" width="9.09765625" style="1" customWidth="1"/>
    <col min="4614" max="4614" width="10.69921875" style="1" customWidth="1"/>
    <col min="4615" max="4615" width="9.5" style="1" customWidth="1"/>
    <col min="4616" max="4616" width="10.19921875" style="1" customWidth="1"/>
    <col min="4617" max="4617" width="9" style="1" customWidth="1"/>
    <col min="4618" max="4619" width="4.19921875" style="1" customWidth="1"/>
    <col min="4620" max="4620" width="8.59765625" style="1" customWidth="1"/>
    <col min="4621" max="4621" width="4.19921875" style="1" customWidth="1"/>
    <col min="4622" max="4622" width="11.59765625" style="1" customWidth="1"/>
    <col min="4623" max="4862" width="8.69921875" style="1"/>
    <col min="4863" max="4863" width="3.8984375" style="1" customWidth="1"/>
    <col min="4864" max="4864" width="4.09765625" style="1" customWidth="1"/>
    <col min="4865" max="4865" width="19.19921875" style="1" customWidth="1"/>
    <col min="4866" max="4866" width="25.09765625" style="1" customWidth="1"/>
    <col min="4867" max="4867" width="9.3984375" style="1" customWidth="1"/>
    <col min="4868" max="4868" width="9.8984375" style="1" bestFit="1" customWidth="1"/>
    <col min="4869" max="4869" width="9.09765625" style="1" customWidth="1"/>
    <col min="4870" max="4870" width="10.69921875" style="1" customWidth="1"/>
    <col min="4871" max="4871" width="9.5" style="1" customWidth="1"/>
    <col min="4872" max="4872" width="10.19921875" style="1" customWidth="1"/>
    <col min="4873" max="4873" width="9" style="1" customWidth="1"/>
    <col min="4874" max="4875" width="4.19921875" style="1" customWidth="1"/>
    <col min="4876" max="4876" width="8.59765625" style="1" customWidth="1"/>
    <col min="4877" max="4877" width="4.19921875" style="1" customWidth="1"/>
    <col min="4878" max="4878" width="11.59765625" style="1" customWidth="1"/>
    <col min="4879" max="5118" width="8.69921875" style="1"/>
    <col min="5119" max="5119" width="3.8984375" style="1" customWidth="1"/>
    <col min="5120" max="5120" width="4.09765625" style="1" customWidth="1"/>
    <col min="5121" max="5121" width="19.19921875" style="1" customWidth="1"/>
    <col min="5122" max="5122" width="25.09765625" style="1" customWidth="1"/>
    <col min="5123" max="5123" width="9.3984375" style="1" customWidth="1"/>
    <col min="5124" max="5124" width="9.8984375" style="1" bestFit="1" customWidth="1"/>
    <col min="5125" max="5125" width="9.09765625" style="1" customWidth="1"/>
    <col min="5126" max="5126" width="10.69921875" style="1" customWidth="1"/>
    <col min="5127" max="5127" width="9.5" style="1" customWidth="1"/>
    <col min="5128" max="5128" width="10.19921875" style="1" customWidth="1"/>
    <col min="5129" max="5129" width="9" style="1" customWidth="1"/>
    <col min="5130" max="5131" width="4.19921875" style="1" customWidth="1"/>
    <col min="5132" max="5132" width="8.59765625" style="1" customWidth="1"/>
    <col min="5133" max="5133" width="4.19921875" style="1" customWidth="1"/>
    <col min="5134" max="5134" width="11.59765625" style="1" customWidth="1"/>
    <col min="5135" max="5374" width="8.69921875" style="1"/>
    <col min="5375" max="5375" width="3.8984375" style="1" customWidth="1"/>
    <col min="5376" max="5376" width="4.09765625" style="1" customWidth="1"/>
    <col min="5377" max="5377" width="19.19921875" style="1" customWidth="1"/>
    <col min="5378" max="5378" width="25.09765625" style="1" customWidth="1"/>
    <col min="5379" max="5379" width="9.3984375" style="1" customWidth="1"/>
    <col min="5380" max="5380" width="9.8984375" style="1" bestFit="1" customWidth="1"/>
    <col min="5381" max="5381" width="9.09765625" style="1" customWidth="1"/>
    <col min="5382" max="5382" width="10.69921875" style="1" customWidth="1"/>
    <col min="5383" max="5383" width="9.5" style="1" customWidth="1"/>
    <col min="5384" max="5384" width="10.19921875" style="1" customWidth="1"/>
    <col min="5385" max="5385" width="9" style="1" customWidth="1"/>
    <col min="5386" max="5387" width="4.19921875" style="1" customWidth="1"/>
    <col min="5388" max="5388" width="8.59765625" style="1" customWidth="1"/>
    <col min="5389" max="5389" width="4.19921875" style="1" customWidth="1"/>
    <col min="5390" max="5390" width="11.59765625" style="1" customWidth="1"/>
    <col min="5391" max="5630" width="8.69921875" style="1"/>
    <col min="5631" max="5631" width="3.8984375" style="1" customWidth="1"/>
    <col min="5632" max="5632" width="4.09765625" style="1" customWidth="1"/>
    <col min="5633" max="5633" width="19.19921875" style="1" customWidth="1"/>
    <col min="5634" max="5634" width="25.09765625" style="1" customWidth="1"/>
    <col min="5635" max="5635" width="9.3984375" style="1" customWidth="1"/>
    <col min="5636" max="5636" width="9.8984375" style="1" bestFit="1" customWidth="1"/>
    <col min="5637" max="5637" width="9.09765625" style="1" customWidth="1"/>
    <col min="5638" max="5638" width="10.69921875" style="1" customWidth="1"/>
    <col min="5639" max="5639" width="9.5" style="1" customWidth="1"/>
    <col min="5640" max="5640" width="10.19921875" style="1" customWidth="1"/>
    <col min="5641" max="5641" width="9" style="1" customWidth="1"/>
    <col min="5642" max="5643" width="4.19921875" style="1" customWidth="1"/>
    <col min="5644" max="5644" width="8.59765625" style="1" customWidth="1"/>
    <col min="5645" max="5645" width="4.19921875" style="1" customWidth="1"/>
    <col min="5646" max="5646" width="11.59765625" style="1" customWidth="1"/>
    <col min="5647" max="5886" width="8.69921875" style="1"/>
    <col min="5887" max="5887" width="3.8984375" style="1" customWidth="1"/>
    <col min="5888" max="5888" width="4.09765625" style="1" customWidth="1"/>
    <col min="5889" max="5889" width="19.19921875" style="1" customWidth="1"/>
    <col min="5890" max="5890" width="25.09765625" style="1" customWidth="1"/>
    <col min="5891" max="5891" width="9.3984375" style="1" customWidth="1"/>
    <col min="5892" max="5892" width="9.8984375" style="1" bestFit="1" customWidth="1"/>
    <col min="5893" max="5893" width="9.09765625" style="1" customWidth="1"/>
    <col min="5894" max="5894" width="10.69921875" style="1" customWidth="1"/>
    <col min="5895" max="5895" width="9.5" style="1" customWidth="1"/>
    <col min="5896" max="5896" width="10.19921875" style="1" customWidth="1"/>
    <col min="5897" max="5897" width="9" style="1" customWidth="1"/>
    <col min="5898" max="5899" width="4.19921875" style="1" customWidth="1"/>
    <col min="5900" max="5900" width="8.59765625" style="1" customWidth="1"/>
    <col min="5901" max="5901" width="4.19921875" style="1" customWidth="1"/>
    <col min="5902" max="5902" width="11.59765625" style="1" customWidth="1"/>
    <col min="5903" max="6142" width="8.69921875" style="1"/>
    <col min="6143" max="6143" width="3.8984375" style="1" customWidth="1"/>
    <col min="6144" max="6144" width="4.09765625" style="1" customWidth="1"/>
    <col min="6145" max="6145" width="19.19921875" style="1" customWidth="1"/>
    <col min="6146" max="6146" width="25.09765625" style="1" customWidth="1"/>
    <col min="6147" max="6147" width="9.3984375" style="1" customWidth="1"/>
    <col min="6148" max="6148" width="9.8984375" style="1" bestFit="1" customWidth="1"/>
    <col min="6149" max="6149" width="9.09765625" style="1" customWidth="1"/>
    <col min="6150" max="6150" width="10.69921875" style="1" customWidth="1"/>
    <col min="6151" max="6151" width="9.5" style="1" customWidth="1"/>
    <col min="6152" max="6152" width="10.19921875" style="1" customWidth="1"/>
    <col min="6153" max="6153" width="9" style="1" customWidth="1"/>
    <col min="6154" max="6155" width="4.19921875" style="1" customWidth="1"/>
    <col min="6156" max="6156" width="8.59765625" style="1" customWidth="1"/>
    <col min="6157" max="6157" width="4.19921875" style="1" customWidth="1"/>
    <col min="6158" max="6158" width="11.59765625" style="1" customWidth="1"/>
    <col min="6159" max="6398" width="8.69921875" style="1"/>
    <col min="6399" max="6399" width="3.8984375" style="1" customWidth="1"/>
    <col min="6400" max="6400" width="4.09765625" style="1" customWidth="1"/>
    <col min="6401" max="6401" width="19.19921875" style="1" customWidth="1"/>
    <col min="6402" max="6402" width="25.09765625" style="1" customWidth="1"/>
    <col min="6403" max="6403" width="9.3984375" style="1" customWidth="1"/>
    <col min="6404" max="6404" width="9.8984375" style="1" bestFit="1" customWidth="1"/>
    <col min="6405" max="6405" width="9.09765625" style="1" customWidth="1"/>
    <col min="6406" max="6406" width="10.69921875" style="1" customWidth="1"/>
    <col min="6407" max="6407" width="9.5" style="1" customWidth="1"/>
    <col min="6408" max="6408" width="10.19921875" style="1" customWidth="1"/>
    <col min="6409" max="6409" width="9" style="1" customWidth="1"/>
    <col min="6410" max="6411" width="4.19921875" style="1" customWidth="1"/>
    <col min="6412" max="6412" width="8.59765625" style="1" customWidth="1"/>
    <col min="6413" max="6413" width="4.19921875" style="1" customWidth="1"/>
    <col min="6414" max="6414" width="11.59765625" style="1" customWidth="1"/>
    <col min="6415" max="6654" width="8.69921875" style="1"/>
    <col min="6655" max="6655" width="3.8984375" style="1" customWidth="1"/>
    <col min="6656" max="6656" width="4.09765625" style="1" customWidth="1"/>
    <col min="6657" max="6657" width="19.19921875" style="1" customWidth="1"/>
    <col min="6658" max="6658" width="25.09765625" style="1" customWidth="1"/>
    <col min="6659" max="6659" width="9.3984375" style="1" customWidth="1"/>
    <col min="6660" max="6660" width="9.8984375" style="1" bestFit="1" customWidth="1"/>
    <col min="6661" max="6661" width="9.09765625" style="1" customWidth="1"/>
    <col min="6662" max="6662" width="10.69921875" style="1" customWidth="1"/>
    <col min="6663" max="6663" width="9.5" style="1" customWidth="1"/>
    <col min="6664" max="6664" width="10.19921875" style="1" customWidth="1"/>
    <col min="6665" max="6665" width="9" style="1" customWidth="1"/>
    <col min="6666" max="6667" width="4.19921875" style="1" customWidth="1"/>
    <col min="6668" max="6668" width="8.59765625" style="1" customWidth="1"/>
    <col min="6669" max="6669" width="4.19921875" style="1" customWidth="1"/>
    <col min="6670" max="6670" width="11.59765625" style="1" customWidth="1"/>
    <col min="6671" max="6910" width="8.69921875" style="1"/>
    <col min="6911" max="6911" width="3.8984375" style="1" customWidth="1"/>
    <col min="6912" max="6912" width="4.09765625" style="1" customWidth="1"/>
    <col min="6913" max="6913" width="19.19921875" style="1" customWidth="1"/>
    <col min="6914" max="6914" width="25.09765625" style="1" customWidth="1"/>
    <col min="6915" max="6915" width="9.3984375" style="1" customWidth="1"/>
    <col min="6916" max="6916" width="9.8984375" style="1" bestFit="1" customWidth="1"/>
    <col min="6917" max="6917" width="9.09765625" style="1" customWidth="1"/>
    <col min="6918" max="6918" width="10.69921875" style="1" customWidth="1"/>
    <col min="6919" max="6919" width="9.5" style="1" customWidth="1"/>
    <col min="6920" max="6920" width="10.19921875" style="1" customWidth="1"/>
    <col min="6921" max="6921" width="9" style="1" customWidth="1"/>
    <col min="6922" max="6923" width="4.19921875" style="1" customWidth="1"/>
    <col min="6924" max="6924" width="8.59765625" style="1" customWidth="1"/>
    <col min="6925" max="6925" width="4.19921875" style="1" customWidth="1"/>
    <col min="6926" max="6926" width="11.59765625" style="1" customWidth="1"/>
    <col min="6927" max="7166" width="8.69921875" style="1"/>
    <col min="7167" max="7167" width="3.8984375" style="1" customWidth="1"/>
    <col min="7168" max="7168" width="4.09765625" style="1" customWidth="1"/>
    <col min="7169" max="7169" width="19.19921875" style="1" customWidth="1"/>
    <col min="7170" max="7170" width="25.09765625" style="1" customWidth="1"/>
    <col min="7171" max="7171" width="9.3984375" style="1" customWidth="1"/>
    <col min="7172" max="7172" width="9.8984375" style="1" bestFit="1" customWidth="1"/>
    <col min="7173" max="7173" width="9.09765625" style="1" customWidth="1"/>
    <col min="7174" max="7174" width="10.69921875" style="1" customWidth="1"/>
    <col min="7175" max="7175" width="9.5" style="1" customWidth="1"/>
    <col min="7176" max="7176" width="10.19921875" style="1" customWidth="1"/>
    <col min="7177" max="7177" width="9" style="1" customWidth="1"/>
    <col min="7178" max="7179" width="4.19921875" style="1" customWidth="1"/>
    <col min="7180" max="7180" width="8.59765625" style="1" customWidth="1"/>
    <col min="7181" max="7181" width="4.19921875" style="1" customWidth="1"/>
    <col min="7182" max="7182" width="11.59765625" style="1" customWidth="1"/>
    <col min="7183" max="7422" width="8.69921875" style="1"/>
    <col min="7423" max="7423" width="3.8984375" style="1" customWidth="1"/>
    <col min="7424" max="7424" width="4.09765625" style="1" customWidth="1"/>
    <col min="7425" max="7425" width="19.19921875" style="1" customWidth="1"/>
    <col min="7426" max="7426" width="25.09765625" style="1" customWidth="1"/>
    <col min="7427" max="7427" width="9.3984375" style="1" customWidth="1"/>
    <col min="7428" max="7428" width="9.8984375" style="1" bestFit="1" customWidth="1"/>
    <col min="7429" max="7429" width="9.09765625" style="1" customWidth="1"/>
    <col min="7430" max="7430" width="10.69921875" style="1" customWidth="1"/>
    <col min="7431" max="7431" width="9.5" style="1" customWidth="1"/>
    <col min="7432" max="7432" width="10.19921875" style="1" customWidth="1"/>
    <col min="7433" max="7433" width="9" style="1" customWidth="1"/>
    <col min="7434" max="7435" width="4.19921875" style="1" customWidth="1"/>
    <col min="7436" max="7436" width="8.59765625" style="1" customWidth="1"/>
    <col min="7437" max="7437" width="4.19921875" style="1" customWidth="1"/>
    <col min="7438" max="7438" width="11.59765625" style="1" customWidth="1"/>
    <col min="7439" max="7678" width="8.69921875" style="1"/>
    <col min="7679" max="7679" width="3.8984375" style="1" customWidth="1"/>
    <col min="7680" max="7680" width="4.09765625" style="1" customWidth="1"/>
    <col min="7681" max="7681" width="19.19921875" style="1" customWidth="1"/>
    <col min="7682" max="7682" width="25.09765625" style="1" customWidth="1"/>
    <col min="7683" max="7683" width="9.3984375" style="1" customWidth="1"/>
    <col min="7684" max="7684" width="9.8984375" style="1" bestFit="1" customWidth="1"/>
    <col min="7685" max="7685" width="9.09765625" style="1" customWidth="1"/>
    <col min="7686" max="7686" width="10.69921875" style="1" customWidth="1"/>
    <col min="7687" max="7687" width="9.5" style="1" customWidth="1"/>
    <col min="7688" max="7688" width="10.19921875" style="1" customWidth="1"/>
    <col min="7689" max="7689" width="9" style="1" customWidth="1"/>
    <col min="7690" max="7691" width="4.19921875" style="1" customWidth="1"/>
    <col min="7692" max="7692" width="8.59765625" style="1" customWidth="1"/>
    <col min="7693" max="7693" width="4.19921875" style="1" customWidth="1"/>
    <col min="7694" max="7694" width="11.59765625" style="1" customWidth="1"/>
    <col min="7695" max="7934" width="8.69921875" style="1"/>
    <col min="7935" max="7935" width="3.8984375" style="1" customWidth="1"/>
    <col min="7936" max="7936" width="4.09765625" style="1" customWidth="1"/>
    <col min="7937" max="7937" width="19.19921875" style="1" customWidth="1"/>
    <col min="7938" max="7938" width="25.09765625" style="1" customWidth="1"/>
    <col min="7939" max="7939" width="9.3984375" style="1" customWidth="1"/>
    <col min="7940" max="7940" width="9.8984375" style="1" bestFit="1" customWidth="1"/>
    <col min="7941" max="7941" width="9.09765625" style="1" customWidth="1"/>
    <col min="7942" max="7942" width="10.69921875" style="1" customWidth="1"/>
    <col min="7943" max="7943" width="9.5" style="1" customWidth="1"/>
    <col min="7944" max="7944" width="10.19921875" style="1" customWidth="1"/>
    <col min="7945" max="7945" width="9" style="1" customWidth="1"/>
    <col min="7946" max="7947" width="4.19921875" style="1" customWidth="1"/>
    <col min="7948" max="7948" width="8.59765625" style="1" customWidth="1"/>
    <col min="7949" max="7949" width="4.19921875" style="1" customWidth="1"/>
    <col min="7950" max="7950" width="11.59765625" style="1" customWidth="1"/>
    <col min="7951" max="8190" width="8.69921875" style="1"/>
    <col min="8191" max="8191" width="3.8984375" style="1" customWidth="1"/>
    <col min="8192" max="8192" width="4.09765625" style="1" customWidth="1"/>
    <col min="8193" max="8193" width="19.19921875" style="1" customWidth="1"/>
    <col min="8194" max="8194" width="25.09765625" style="1" customWidth="1"/>
    <col min="8195" max="8195" width="9.3984375" style="1" customWidth="1"/>
    <col min="8196" max="8196" width="9.8984375" style="1" bestFit="1" customWidth="1"/>
    <col min="8197" max="8197" width="9.09765625" style="1" customWidth="1"/>
    <col min="8198" max="8198" width="10.69921875" style="1" customWidth="1"/>
    <col min="8199" max="8199" width="9.5" style="1" customWidth="1"/>
    <col min="8200" max="8200" width="10.19921875" style="1" customWidth="1"/>
    <col min="8201" max="8201" width="9" style="1" customWidth="1"/>
    <col min="8202" max="8203" width="4.19921875" style="1" customWidth="1"/>
    <col min="8204" max="8204" width="8.59765625" style="1" customWidth="1"/>
    <col min="8205" max="8205" width="4.19921875" style="1" customWidth="1"/>
    <col min="8206" max="8206" width="11.59765625" style="1" customWidth="1"/>
    <col min="8207" max="8446" width="8.69921875" style="1"/>
    <col min="8447" max="8447" width="3.8984375" style="1" customWidth="1"/>
    <col min="8448" max="8448" width="4.09765625" style="1" customWidth="1"/>
    <col min="8449" max="8449" width="19.19921875" style="1" customWidth="1"/>
    <col min="8450" max="8450" width="25.09765625" style="1" customWidth="1"/>
    <col min="8451" max="8451" width="9.3984375" style="1" customWidth="1"/>
    <col min="8452" max="8452" width="9.8984375" style="1" bestFit="1" customWidth="1"/>
    <col min="8453" max="8453" width="9.09765625" style="1" customWidth="1"/>
    <col min="8454" max="8454" width="10.69921875" style="1" customWidth="1"/>
    <col min="8455" max="8455" width="9.5" style="1" customWidth="1"/>
    <col min="8456" max="8456" width="10.19921875" style="1" customWidth="1"/>
    <col min="8457" max="8457" width="9" style="1" customWidth="1"/>
    <col min="8458" max="8459" width="4.19921875" style="1" customWidth="1"/>
    <col min="8460" max="8460" width="8.59765625" style="1" customWidth="1"/>
    <col min="8461" max="8461" width="4.19921875" style="1" customWidth="1"/>
    <col min="8462" max="8462" width="11.59765625" style="1" customWidth="1"/>
    <col min="8463" max="8702" width="8.69921875" style="1"/>
    <col min="8703" max="8703" width="3.8984375" style="1" customWidth="1"/>
    <col min="8704" max="8704" width="4.09765625" style="1" customWidth="1"/>
    <col min="8705" max="8705" width="19.19921875" style="1" customWidth="1"/>
    <col min="8706" max="8706" width="25.09765625" style="1" customWidth="1"/>
    <col min="8707" max="8707" width="9.3984375" style="1" customWidth="1"/>
    <col min="8708" max="8708" width="9.8984375" style="1" bestFit="1" customWidth="1"/>
    <col min="8709" max="8709" width="9.09765625" style="1" customWidth="1"/>
    <col min="8710" max="8710" width="10.69921875" style="1" customWidth="1"/>
    <col min="8711" max="8711" width="9.5" style="1" customWidth="1"/>
    <col min="8712" max="8712" width="10.19921875" style="1" customWidth="1"/>
    <col min="8713" max="8713" width="9" style="1" customWidth="1"/>
    <col min="8714" max="8715" width="4.19921875" style="1" customWidth="1"/>
    <col min="8716" max="8716" width="8.59765625" style="1" customWidth="1"/>
    <col min="8717" max="8717" width="4.19921875" style="1" customWidth="1"/>
    <col min="8718" max="8718" width="11.59765625" style="1" customWidth="1"/>
    <col min="8719" max="8958" width="8.69921875" style="1"/>
    <col min="8959" max="8959" width="3.8984375" style="1" customWidth="1"/>
    <col min="8960" max="8960" width="4.09765625" style="1" customWidth="1"/>
    <col min="8961" max="8961" width="19.19921875" style="1" customWidth="1"/>
    <col min="8962" max="8962" width="25.09765625" style="1" customWidth="1"/>
    <col min="8963" max="8963" width="9.3984375" style="1" customWidth="1"/>
    <col min="8964" max="8964" width="9.8984375" style="1" bestFit="1" customWidth="1"/>
    <col min="8965" max="8965" width="9.09765625" style="1" customWidth="1"/>
    <col min="8966" max="8966" width="10.69921875" style="1" customWidth="1"/>
    <col min="8967" max="8967" width="9.5" style="1" customWidth="1"/>
    <col min="8968" max="8968" width="10.19921875" style="1" customWidth="1"/>
    <col min="8969" max="8969" width="9" style="1" customWidth="1"/>
    <col min="8970" max="8971" width="4.19921875" style="1" customWidth="1"/>
    <col min="8972" max="8972" width="8.59765625" style="1" customWidth="1"/>
    <col min="8973" max="8973" width="4.19921875" style="1" customWidth="1"/>
    <col min="8974" max="8974" width="11.59765625" style="1" customWidth="1"/>
    <col min="8975" max="9214" width="8.69921875" style="1"/>
    <col min="9215" max="9215" width="3.8984375" style="1" customWidth="1"/>
    <col min="9216" max="9216" width="4.09765625" style="1" customWidth="1"/>
    <col min="9217" max="9217" width="19.19921875" style="1" customWidth="1"/>
    <col min="9218" max="9218" width="25.09765625" style="1" customWidth="1"/>
    <col min="9219" max="9219" width="9.3984375" style="1" customWidth="1"/>
    <col min="9220" max="9220" width="9.8984375" style="1" bestFit="1" customWidth="1"/>
    <col min="9221" max="9221" width="9.09765625" style="1" customWidth="1"/>
    <col min="9222" max="9222" width="10.69921875" style="1" customWidth="1"/>
    <col min="9223" max="9223" width="9.5" style="1" customWidth="1"/>
    <col min="9224" max="9224" width="10.19921875" style="1" customWidth="1"/>
    <col min="9225" max="9225" width="9" style="1" customWidth="1"/>
    <col min="9226" max="9227" width="4.19921875" style="1" customWidth="1"/>
    <col min="9228" max="9228" width="8.59765625" style="1" customWidth="1"/>
    <col min="9229" max="9229" width="4.19921875" style="1" customWidth="1"/>
    <col min="9230" max="9230" width="11.59765625" style="1" customWidth="1"/>
    <col min="9231" max="9470" width="8.69921875" style="1"/>
    <col min="9471" max="9471" width="3.8984375" style="1" customWidth="1"/>
    <col min="9472" max="9472" width="4.09765625" style="1" customWidth="1"/>
    <col min="9473" max="9473" width="19.19921875" style="1" customWidth="1"/>
    <col min="9474" max="9474" width="25.09765625" style="1" customWidth="1"/>
    <col min="9475" max="9475" width="9.3984375" style="1" customWidth="1"/>
    <col min="9476" max="9476" width="9.8984375" style="1" bestFit="1" customWidth="1"/>
    <col min="9477" max="9477" width="9.09765625" style="1" customWidth="1"/>
    <col min="9478" max="9478" width="10.69921875" style="1" customWidth="1"/>
    <col min="9479" max="9479" width="9.5" style="1" customWidth="1"/>
    <col min="9480" max="9480" width="10.19921875" style="1" customWidth="1"/>
    <col min="9481" max="9481" width="9" style="1" customWidth="1"/>
    <col min="9482" max="9483" width="4.19921875" style="1" customWidth="1"/>
    <col min="9484" max="9484" width="8.59765625" style="1" customWidth="1"/>
    <col min="9485" max="9485" width="4.19921875" style="1" customWidth="1"/>
    <col min="9486" max="9486" width="11.59765625" style="1" customWidth="1"/>
    <col min="9487" max="9726" width="8.69921875" style="1"/>
    <col min="9727" max="9727" width="3.8984375" style="1" customWidth="1"/>
    <col min="9728" max="9728" width="4.09765625" style="1" customWidth="1"/>
    <col min="9729" max="9729" width="19.19921875" style="1" customWidth="1"/>
    <col min="9730" max="9730" width="25.09765625" style="1" customWidth="1"/>
    <col min="9731" max="9731" width="9.3984375" style="1" customWidth="1"/>
    <col min="9732" max="9732" width="9.8984375" style="1" bestFit="1" customWidth="1"/>
    <col min="9733" max="9733" width="9.09765625" style="1" customWidth="1"/>
    <col min="9734" max="9734" width="10.69921875" style="1" customWidth="1"/>
    <col min="9735" max="9735" width="9.5" style="1" customWidth="1"/>
    <col min="9736" max="9736" width="10.19921875" style="1" customWidth="1"/>
    <col min="9737" max="9737" width="9" style="1" customWidth="1"/>
    <col min="9738" max="9739" width="4.19921875" style="1" customWidth="1"/>
    <col min="9740" max="9740" width="8.59765625" style="1" customWidth="1"/>
    <col min="9741" max="9741" width="4.19921875" style="1" customWidth="1"/>
    <col min="9742" max="9742" width="11.59765625" style="1" customWidth="1"/>
    <col min="9743" max="9982" width="8.69921875" style="1"/>
    <col min="9983" max="9983" width="3.8984375" style="1" customWidth="1"/>
    <col min="9984" max="9984" width="4.09765625" style="1" customWidth="1"/>
    <col min="9985" max="9985" width="19.19921875" style="1" customWidth="1"/>
    <col min="9986" max="9986" width="25.09765625" style="1" customWidth="1"/>
    <col min="9987" max="9987" width="9.3984375" style="1" customWidth="1"/>
    <col min="9988" max="9988" width="9.8984375" style="1" bestFit="1" customWidth="1"/>
    <col min="9989" max="9989" width="9.09765625" style="1" customWidth="1"/>
    <col min="9990" max="9990" width="10.69921875" style="1" customWidth="1"/>
    <col min="9991" max="9991" width="9.5" style="1" customWidth="1"/>
    <col min="9992" max="9992" width="10.19921875" style="1" customWidth="1"/>
    <col min="9993" max="9993" width="9" style="1" customWidth="1"/>
    <col min="9994" max="9995" width="4.19921875" style="1" customWidth="1"/>
    <col min="9996" max="9996" width="8.59765625" style="1" customWidth="1"/>
    <col min="9997" max="9997" width="4.19921875" style="1" customWidth="1"/>
    <col min="9998" max="9998" width="11.59765625" style="1" customWidth="1"/>
    <col min="9999" max="10238" width="8.69921875" style="1"/>
    <col min="10239" max="10239" width="3.8984375" style="1" customWidth="1"/>
    <col min="10240" max="10240" width="4.09765625" style="1" customWidth="1"/>
    <col min="10241" max="10241" width="19.19921875" style="1" customWidth="1"/>
    <col min="10242" max="10242" width="25.09765625" style="1" customWidth="1"/>
    <col min="10243" max="10243" width="9.3984375" style="1" customWidth="1"/>
    <col min="10244" max="10244" width="9.8984375" style="1" bestFit="1" customWidth="1"/>
    <col min="10245" max="10245" width="9.09765625" style="1" customWidth="1"/>
    <col min="10246" max="10246" width="10.69921875" style="1" customWidth="1"/>
    <col min="10247" max="10247" width="9.5" style="1" customWidth="1"/>
    <col min="10248" max="10248" width="10.19921875" style="1" customWidth="1"/>
    <col min="10249" max="10249" width="9" style="1" customWidth="1"/>
    <col min="10250" max="10251" width="4.19921875" style="1" customWidth="1"/>
    <col min="10252" max="10252" width="8.59765625" style="1" customWidth="1"/>
    <col min="10253" max="10253" width="4.19921875" style="1" customWidth="1"/>
    <col min="10254" max="10254" width="11.59765625" style="1" customWidth="1"/>
    <col min="10255" max="10494" width="8.69921875" style="1"/>
    <col min="10495" max="10495" width="3.8984375" style="1" customWidth="1"/>
    <col min="10496" max="10496" width="4.09765625" style="1" customWidth="1"/>
    <col min="10497" max="10497" width="19.19921875" style="1" customWidth="1"/>
    <col min="10498" max="10498" width="25.09765625" style="1" customWidth="1"/>
    <col min="10499" max="10499" width="9.3984375" style="1" customWidth="1"/>
    <col min="10500" max="10500" width="9.8984375" style="1" bestFit="1" customWidth="1"/>
    <col min="10501" max="10501" width="9.09765625" style="1" customWidth="1"/>
    <col min="10502" max="10502" width="10.69921875" style="1" customWidth="1"/>
    <col min="10503" max="10503" width="9.5" style="1" customWidth="1"/>
    <col min="10504" max="10504" width="10.19921875" style="1" customWidth="1"/>
    <col min="10505" max="10505" width="9" style="1" customWidth="1"/>
    <col min="10506" max="10507" width="4.19921875" style="1" customWidth="1"/>
    <col min="10508" max="10508" width="8.59765625" style="1" customWidth="1"/>
    <col min="10509" max="10509" width="4.19921875" style="1" customWidth="1"/>
    <col min="10510" max="10510" width="11.59765625" style="1" customWidth="1"/>
    <col min="10511" max="10750" width="8.69921875" style="1"/>
    <col min="10751" max="10751" width="3.8984375" style="1" customWidth="1"/>
    <col min="10752" max="10752" width="4.09765625" style="1" customWidth="1"/>
    <col min="10753" max="10753" width="19.19921875" style="1" customWidth="1"/>
    <col min="10754" max="10754" width="25.09765625" style="1" customWidth="1"/>
    <col min="10755" max="10755" width="9.3984375" style="1" customWidth="1"/>
    <col min="10756" max="10756" width="9.8984375" style="1" bestFit="1" customWidth="1"/>
    <col min="10757" max="10757" width="9.09765625" style="1" customWidth="1"/>
    <col min="10758" max="10758" width="10.69921875" style="1" customWidth="1"/>
    <col min="10759" max="10759" width="9.5" style="1" customWidth="1"/>
    <col min="10760" max="10760" width="10.19921875" style="1" customWidth="1"/>
    <col min="10761" max="10761" width="9" style="1" customWidth="1"/>
    <col min="10762" max="10763" width="4.19921875" style="1" customWidth="1"/>
    <col min="10764" max="10764" width="8.59765625" style="1" customWidth="1"/>
    <col min="10765" max="10765" width="4.19921875" style="1" customWidth="1"/>
    <col min="10766" max="10766" width="11.59765625" style="1" customWidth="1"/>
    <col min="10767" max="11006" width="8.69921875" style="1"/>
    <col min="11007" max="11007" width="3.8984375" style="1" customWidth="1"/>
    <col min="11008" max="11008" width="4.09765625" style="1" customWidth="1"/>
    <col min="11009" max="11009" width="19.19921875" style="1" customWidth="1"/>
    <col min="11010" max="11010" width="25.09765625" style="1" customWidth="1"/>
    <col min="11011" max="11011" width="9.3984375" style="1" customWidth="1"/>
    <col min="11012" max="11012" width="9.8984375" style="1" bestFit="1" customWidth="1"/>
    <col min="11013" max="11013" width="9.09765625" style="1" customWidth="1"/>
    <col min="11014" max="11014" width="10.69921875" style="1" customWidth="1"/>
    <col min="11015" max="11015" width="9.5" style="1" customWidth="1"/>
    <col min="11016" max="11016" width="10.19921875" style="1" customWidth="1"/>
    <col min="11017" max="11017" width="9" style="1" customWidth="1"/>
    <col min="11018" max="11019" width="4.19921875" style="1" customWidth="1"/>
    <col min="11020" max="11020" width="8.59765625" style="1" customWidth="1"/>
    <col min="11021" max="11021" width="4.19921875" style="1" customWidth="1"/>
    <col min="11022" max="11022" width="11.59765625" style="1" customWidth="1"/>
    <col min="11023" max="11262" width="8.69921875" style="1"/>
    <col min="11263" max="11263" width="3.8984375" style="1" customWidth="1"/>
    <col min="11264" max="11264" width="4.09765625" style="1" customWidth="1"/>
    <col min="11265" max="11265" width="19.19921875" style="1" customWidth="1"/>
    <col min="11266" max="11266" width="25.09765625" style="1" customWidth="1"/>
    <col min="11267" max="11267" width="9.3984375" style="1" customWidth="1"/>
    <col min="11268" max="11268" width="9.8984375" style="1" bestFit="1" customWidth="1"/>
    <col min="11269" max="11269" width="9.09765625" style="1" customWidth="1"/>
    <col min="11270" max="11270" width="10.69921875" style="1" customWidth="1"/>
    <col min="11271" max="11271" width="9.5" style="1" customWidth="1"/>
    <col min="11272" max="11272" width="10.19921875" style="1" customWidth="1"/>
    <col min="11273" max="11273" width="9" style="1" customWidth="1"/>
    <col min="11274" max="11275" width="4.19921875" style="1" customWidth="1"/>
    <col min="11276" max="11276" width="8.59765625" style="1" customWidth="1"/>
    <col min="11277" max="11277" width="4.19921875" style="1" customWidth="1"/>
    <col min="11278" max="11278" width="11.59765625" style="1" customWidth="1"/>
    <col min="11279" max="11518" width="8.69921875" style="1"/>
    <col min="11519" max="11519" width="3.8984375" style="1" customWidth="1"/>
    <col min="11520" max="11520" width="4.09765625" style="1" customWidth="1"/>
    <col min="11521" max="11521" width="19.19921875" style="1" customWidth="1"/>
    <col min="11522" max="11522" width="25.09765625" style="1" customWidth="1"/>
    <col min="11523" max="11523" width="9.3984375" style="1" customWidth="1"/>
    <col min="11524" max="11524" width="9.8984375" style="1" bestFit="1" customWidth="1"/>
    <col min="11525" max="11525" width="9.09765625" style="1" customWidth="1"/>
    <col min="11526" max="11526" width="10.69921875" style="1" customWidth="1"/>
    <col min="11527" max="11527" width="9.5" style="1" customWidth="1"/>
    <col min="11528" max="11528" width="10.19921875" style="1" customWidth="1"/>
    <col min="11529" max="11529" width="9" style="1" customWidth="1"/>
    <col min="11530" max="11531" width="4.19921875" style="1" customWidth="1"/>
    <col min="11532" max="11532" width="8.59765625" style="1" customWidth="1"/>
    <col min="11533" max="11533" width="4.19921875" style="1" customWidth="1"/>
    <col min="11534" max="11534" width="11.59765625" style="1" customWidth="1"/>
    <col min="11535" max="11774" width="8.69921875" style="1"/>
    <col min="11775" max="11775" width="3.8984375" style="1" customWidth="1"/>
    <col min="11776" max="11776" width="4.09765625" style="1" customWidth="1"/>
    <col min="11777" max="11777" width="19.19921875" style="1" customWidth="1"/>
    <col min="11778" max="11778" width="25.09765625" style="1" customWidth="1"/>
    <col min="11779" max="11779" width="9.3984375" style="1" customWidth="1"/>
    <col min="11780" max="11780" width="9.8984375" style="1" bestFit="1" customWidth="1"/>
    <col min="11781" max="11781" width="9.09765625" style="1" customWidth="1"/>
    <col min="11782" max="11782" width="10.69921875" style="1" customWidth="1"/>
    <col min="11783" max="11783" width="9.5" style="1" customWidth="1"/>
    <col min="11784" max="11784" width="10.19921875" style="1" customWidth="1"/>
    <col min="11785" max="11785" width="9" style="1" customWidth="1"/>
    <col min="11786" max="11787" width="4.19921875" style="1" customWidth="1"/>
    <col min="11788" max="11788" width="8.59765625" style="1" customWidth="1"/>
    <col min="11789" max="11789" width="4.19921875" style="1" customWidth="1"/>
    <col min="11790" max="11790" width="11.59765625" style="1" customWidth="1"/>
    <col min="11791" max="12030" width="8.69921875" style="1"/>
    <col min="12031" max="12031" width="3.8984375" style="1" customWidth="1"/>
    <col min="12032" max="12032" width="4.09765625" style="1" customWidth="1"/>
    <col min="12033" max="12033" width="19.19921875" style="1" customWidth="1"/>
    <col min="12034" max="12034" width="25.09765625" style="1" customWidth="1"/>
    <col min="12035" max="12035" width="9.3984375" style="1" customWidth="1"/>
    <col min="12036" max="12036" width="9.8984375" style="1" bestFit="1" customWidth="1"/>
    <col min="12037" max="12037" width="9.09765625" style="1" customWidth="1"/>
    <col min="12038" max="12038" width="10.69921875" style="1" customWidth="1"/>
    <col min="12039" max="12039" width="9.5" style="1" customWidth="1"/>
    <col min="12040" max="12040" width="10.19921875" style="1" customWidth="1"/>
    <col min="12041" max="12041" width="9" style="1" customWidth="1"/>
    <col min="12042" max="12043" width="4.19921875" style="1" customWidth="1"/>
    <col min="12044" max="12044" width="8.59765625" style="1" customWidth="1"/>
    <col min="12045" max="12045" width="4.19921875" style="1" customWidth="1"/>
    <col min="12046" max="12046" width="11.59765625" style="1" customWidth="1"/>
    <col min="12047" max="12286" width="8.69921875" style="1"/>
    <col min="12287" max="12287" width="3.8984375" style="1" customWidth="1"/>
    <col min="12288" max="12288" width="4.09765625" style="1" customWidth="1"/>
    <col min="12289" max="12289" width="19.19921875" style="1" customWidth="1"/>
    <col min="12290" max="12290" width="25.09765625" style="1" customWidth="1"/>
    <col min="12291" max="12291" width="9.3984375" style="1" customWidth="1"/>
    <col min="12292" max="12292" width="9.8984375" style="1" bestFit="1" customWidth="1"/>
    <col min="12293" max="12293" width="9.09765625" style="1" customWidth="1"/>
    <col min="12294" max="12294" width="10.69921875" style="1" customWidth="1"/>
    <col min="12295" max="12295" width="9.5" style="1" customWidth="1"/>
    <col min="12296" max="12296" width="10.19921875" style="1" customWidth="1"/>
    <col min="12297" max="12297" width="9" style="1" customWidth="1"/>
    <col min="12298" max="12299" width="4.19921875" style="1" customWidth="1"/>
    <col min="12300" max="12300" width="8.59765625" style="1" customWidth="1"/>
    <col min="12301" max="12301" width="4.19921875" style="1" customWidth="1"/>
    <col min="12302" max="12302" width="11.59765625" style="1" customWidth="1"/>
    <col min="12303" max="12542" width="8.69921875" style="1"/>
    <col min="12543" max="12543" width="3.8984375" style="1" customWidth="1"/>
    <col min="12544" max="12544" width="4.09765625" style="1" customWidth="1"/>
    <col min="12545" max="12545" width="19.19921875" style="1" customWidth="1"/>
    <col min="12546" max="12546" width="25.09765625" style="1" customWidth="1"/>
    <col min="12547" max="12547" width="9.3984375" style="1" customWidth="1"/>
    <col min="12548" max="12548" width="9.8984375" style="1" bestFit="1" customWidth="1"/>
    <col min="12549" max="12549" width="9.09765625" style="1" customWidth="1"/>
    <col min="12550" max="12550" width="10.69921875" style="1" customWidth="1"/>
    <col min="12551" max="12551" width="9.5" style="1" customWidth="1"/>
    <col min="12552" max="12552" width="10.19921875" style="1" customWidth="1"/>
    <col min="12553" max="12553" width="9" style="1" customWidth="1"/>
    <col min="12554" max="12555" width="4.19921875" style="1" customWidth="1"/>
    <col min="12556" max="12556" width="8.59765625" style="1" customWidth="1"/>
    <col min="12557" max="12557" width="4.19921875" style="1" customWidth="1"/>
    <col min="12558" max="12558" width="11.59765625" style="1" customWidth="1"/>
    <col min="12559" max="12798" width="8.69921875" style="1"/>
    <col min="12799" max="12799" width="3.8984375" style="1" customWidth="1"/>
    <col min="12800" max="12800" width="4.09765625" style="1" customWidth="1"/>
    <col min="12801" max="12801" width="19.19921875" style="1" customWidth="1"/>
    <col min="12802" max="12802" width="25.09765625" style="1" customWidth="1"/>
    <col min="12803" max="12803" width="9.3984375" style="1" customWidth="1"/>
    <col min="12804" max="12804" width="9.8984375" style="1" bestFit="1" customWidth="1"/>
    <col min="12805" max="12805" width="9.09765625" style="1" customWidth="1"/>
    <col min="12806" max="12806" width="10.69921875" style="1" customWidth="1"/>
    <col min="12807" max="12807" width="9.5" style="1" customWidth="1"/>
    <col min="12808" max="12808" width="10.19921875" style="1" customWidth="1"/>
    <col min="12809" max="12809" width="9" style="1" customWidth="1"/>
    <col min="12810" max="12811" width="4.19921875" style="1" customWidth="1"/>
    <col min="12812" max="12812" width="8.59765625" style="1" customWidth="1"/>
    <col min="12813" max="12813" width="4.19921875" style="1" customWidth="1"/>
    <col min="12814" max="12814" width="11.59765625" style="1" customWidth="1"/>
    <col min="12815" max="13054" width="8.69921875" style="1"/>
    <col min="13055" max="13055" width="3.8984375" style="1" customWidth="1"/>
    <col min="13056" max="13056" width="4.09765625" style="1" customWidth="1"/>
    <col min="13057" max="13057" width="19.19921875" style="1" customWidth="1"/>
    <col min="13058" max="13058" width="25.09765625" style="1" customWidth="1"/>
    <col min="13059" max="13059" width="9.3984375" style="1" customWidth="1"/>
    <col min="13060" max="13060" width="9.8984375" style="1" bestFit="1" customWidth="1"/>
    <col min="13061" max="13061" width="9.09765625" style="1" customWidth="1"/>
    <col min="13062" max="13062" width="10.69921875" style="1" customWidth="1"/>
    <col min="13063" max="13063" width="9.5" style="1" customWidth="1"/>
    <col min="13064" max="13064" width="10.19921875" style="1" customWidth="1"/>
    <col min="13065" max="13065" width="9" style="1" customWidth="1"/>
    <col min="13066" max="13067" width="4.19921875" style="1" customWidth="1"/>
    <col min="13068" max="13068" width="8.59765625" style="1" customWidth="1"/>
    <col min="13069" max="13069" width="4.19921875" style="1" customWidth="1"/>
    <col min="13070" max="13070" width="11.59765625" style="1" customWidth="1"/>
    <col min="13071" max="13310" width="8.69921875" style="1"/>
    <col min="13311" max="13311" width="3.8984375" style="1" customWidth="1"/>
    <col min="13312" max="13312" width="4.09765625" style="1" customWidth="1"/>
    <col min="13313" max="13313" width="19.19921875" style="1" customWidth="1"/>
    <col min="13314" max="13314" width="25.09765625" style="1" customWidth="1"/>
    <col min="13315" max="13315" width="9.3984375" style="1" customWidth="1"/>
    <col min="13316" max="13316" width="9.8984375" style="1" bestFit="1" customWidth="1"/>
    <col min="13317" max="13317" width="9.09765625" style="1" customWidth="1"/>
    <col min="13318" max="13318" width="10.69921875" style="1" customWidth="1"/>
    <col min="13319" max="13319" width="9.5" style="1" customWidth="1"/>
    <col min="13320" max="13320" width="10.19921875" style="1" customWidth="1"/>
    <col min="13321" max="13321" width="9" style="1" customWidth="1"/>
    <col min="13322" max="13323" width="4.19921875" style="1" customWidth="1"/>
    <col min="13324" max="13324" width="8.59765625" style="1" customWidth="1"/>
    <col min="13325" max="13325" width="4.19921875" style="1" customWidth="1"/>
    <col min="13326" max="13326" width="11.59765625" style="1" customWidth="1"/>
    <col min="13327" max="13566" width="8.69921875" style="1"/>
    <col min="13567" max="13567" width="3.8984375" style="1" customWidth="1"/>
    <col min="13568" max="13568" width="4.09765625" style="1" customWidth="1"/>
    <col min="13569" max="13569" width="19.19921875" style="1" customWidth="1"/>
    <col min="13570" max="13570" width="25.09765625" style="1" customWidth="1"/>
    <col min="13571" max="13571" width="9.3984375" style="1" customWidth="1"/>
    <col min="13572" max="13572" width="9.8984375" style="1" bestFit="1" customWidth="1"/>
    <col min="13573" max="13573" width="9.09765625" style="1" customWidth="1"/>
    <col min="13574" max="13574" width="10.69921875" style="1" customWidth="1"/>
    <col min="13575" max="13575" width="9.5" style="1" customWidth="1"/>
    <col min="13576" max="13576" width="10.19921875" style="1" customWidth="1"/>
    <col min="13577" max="13577" width="9" style="1" customWidth="1"/>
    <col min="13578" max="13579" width="4.19921875" style="1" customWidth="1"/>
    <col min="13580" max="13580" width="8.59765625" style="1" customWidth="1"/>
    <col min="13581" max="13581" width="4.19921875" style="1" customWidth="1"/>
    <col min="13582" max="13582" width="11.59765625" style="1" customWidth="1"/>
    <col min="13583" max="13822" width="8.69921875" style="1"/>
    <col min="13823" max="13823" width="3.8984375" style="1" customWidth="1"/>
    <col min="13824" max="13824" width="4.09765625" style="1" customWidth="1"/>
    <col min="13825" max="13825" width="19.19921875" style="1" customWidth="1"/>
    <col min="13826" max="13826" width="25.09765625" style="1" customWidth="1"/>
    <col min="13827" max="13827" width="9.3984375" style="1" customWidth="1"/>
    <col min="13828" max="13828" width="9.8984375" style="1" bestFit="1" customWidth="1"/>
    <col min="13829" max="13829" width="9.09765625" style="1" customWidth="1"/>
    <col min="13830" max="13830" width="10.69921875" style="1" customWidth="1"/>
    <col min="13831" max="13831" width="9.5" style="1" customWidth="1"/>
    <col min="13832" max="13832" width="10.19921875" style="1" customWidth="1"/>
    <col min="13833" max="13833" width="9" style="1" customWidth="1"/>
    <col min="13834" max="13835" width="4.19921875" style="1" customWidth="1"/>
    <col min="13836" max="13836" width="8.59765625" style="1" customWidth="1"/>
    <col min="13837" max="13837" width="4.19921875" style="1" customWidth="1"/>
    <col min="13838" max="13838" width="11.59765625" style="1" customWidth="1"/>
    <col min="13839" max="14078" width="8.69921875" style="1"/>
    <col min="14079" max="14079" width="3.8984375" style="1" customWidth="1"/>
    <col min="14080" max="14080" width="4.09765625" style="1" customWidth="1"/>
    <col min="14081" max="14081" width="19.19921875" style="1" customWidth="1"/>
    <col min="14082" max="14082" width="25.09765625" style="1" customWidth="1"/>
    <col min="14083" max="14083" width="9.3984375" style="1" customWidth="1"/>
    <col min="14084" max="14084" width="9.8984375" style="1" bestFit="1" customWidth="1"/>
    <col min="14085" max="14085" width="9.09765625" style="1" customWidth="1"/>
    <col min="14086" max="14086" width="10.69921875" style="1" customWidth="1"/>
    <col min="14087" max="14087" width="9.5" style="1" customWidth="1"/>
    <col min="14088" max="14088" width="10.19921875" style="1" customWidth="1"/>
    <col min="14089" max="14089" width="9" style="1" customWidth="1"/>
    <col min="14090" max="14091" width="4.19921875" style="1" customWidth="1"/>
    <col min="14092" max="14092" width="8.59765625" style="1" customWidth="1"/>
    <col min="14093" max="14093" width="4.19921875" style="1" customWidth="1"/>
    <col min="14094" max="14094" width="11.59765625" style="1" customWidth="1"/>
    <col min="14095" max="14334" width="8.69921875" style="1"/>
    <col min="14335" max="14335" width="3.8984375" style="1" customWidth="1"/>
    <col min="14336" max="14336" width="4.09765625" style="1" customWidth="1"/>
    <col min="14337" max="14337" width="19.19921875" style="1" customWidth="1"/>
    <col min="14338" max="14338" width="25.09765625" style="1" customWidth="1"/>
    <col min="14339" max="14339" width="9.3984375" style="1" customWidth="1"/>
    <col min="14340" max="14340" width="9.8984375" style="1" bestFit="1" customWidth="1"/>
    <col min="14341" max="14341" width="9.09765625" style="1" customWidth="1"/>
    <col min="14342" max="14342" width="10.69921875" style="1" customWidth="1"/>
    <col min="14343" max="14343" width="9.5" style="1" customWidth="1"/>
    <col min="14344" max="14344" width="10.19921875" style="1" customWidth="1"/>
    <col min="14345" max="14345" width="9" style="1" customWidth="1"/>
    <col min="14346" max="14347" width="4.19921875" style="1" customWidth="1"/>
    <col min="14348" max="14348" width="8.59765625" style="1" customWidth="1"/>
    <col min="14349" max="14349" width="4.19921875" style="1" customWidth="1"/>
    <col min="14350" max="14350" width="11.59765625" style="1" customWidth="1"/>
    <col min="14351" max="14590" width="8.69921875" style="1"/>
    <col min="14591" max="14591" width="3.8984375" style="1" customWidth="1"/>
    <col min="14592" max="14592" width="4.09765625" style="1" customWidth="1"/>
    <col min="14593" max="14593" width="19.19921875" style="1" customWidth="1"/>
    <col min="14594" max="14594" width="25.09765625" style="1" customWidth="1"/>
    <col min="14595" max="14595" width="9.3984375" style="1" customWidth="1"/>
    <col min="14596" max="14596" width="9.8984375" style="1" bestFit="1" customWidth="1"/>
    <col min="14597" max="14597" width="9.09765625" style="1" customWidth="1"/>
    <col min="14598" max="14598" width="10.69921875" style="1" customWidth="1"/>
    <col min="14599" max="14599" width="9.5" style="1" customWidth="1"/>
    <col min="14600" max="14600" width="10.19921875" style="1" customWidth="1"/>
    <col min="14601" max="14601" width="9" style="1" customWidth="1"/>
    <col min="14602" max="14603" width="4.19921875" style="1" customWidth="1"/>
    <col min="14604" max="14604" width="8.59765625" style="1" customWidth="1"/>
    <col min="14605" max="14605" width="4.19921875" style="1" customWidth="1"/>
    <col min="14606" max="14606" width="11.59765625" style="1" customWidth="1"/>
    <col min="14607" max="14846" width="8.69921875" style="1"/>
    <col min="14847" max="14847" width="3.8984375" style="1" customWidth="1"/>
    <col min="14848" max="14848" width="4.09765625" style="1" customWidth="1"/>
    <col min="14849" max="14849" width="19.19921875" style="1" customWidth="1"/>
    <col min="14850" max="14850" width="25.09765625" style="1" customWidth="1"/>
    <col min="14851" max="14851" width="9.3984375" style="1" customWidth="1"/>
    <col min="14852" max="14852" width="9.8984375" style="1" bestFit="1" customWidth="1"/>
    <col min="14853" max="14853" width="9.09765625" style="1" customWidth="1"/>
    <col min="14854" max="14854" width="10.69921875" style="1" customWidth="1"/>
    <col min="14855" max="14855" width="9.5" style="1" customWidth="1"/>
    <col min="14856" max="14856" width="10.19921875" style="1" customWidth="1"/>
    <col min="14857" max="14857" width="9" style="1" customWidth="1"/>
    <col min="14858" max="14859" width="4.19921875" style="1" customWidth="1"/>
    <col min="14860" max="14860" width="8.59765625" style="1" customWidth="1"/>
    <col min="14861" max="14861" width="4.19921875" style="1" customWidth="1"/>
    <col min="14862" max="14862" width="11.59765625" style="1" customWidth="1"/>
    <col min="14863" max="15102" width="8.69921875" style="1"/>
    <col min="15103" max="15103" width="3.8984375" style="1" customWidth="1"/>
    <col min="15104" max="15104" width="4.09765625" style="1" customWidth="1"/>
    <col min="15105" max="15105" width="19.19921875" style="1" customWidth="1"/>
    <col min="15106" max="15106" width="25.09765625" style="1" customWidth="1"/>
    <col min="15107" max="15107" width="9.3984375" style="1" customWidth="1"/>
    <col min="15108" max="15108" width="9.8984375" style="1" bestFit="1" customWidth="1"/>
    <col min="15109" max="15109" width="9.09765625" style="1" customWidth="1"/>
    <col min="15110" max="15110" width="10.69921875" style="1" customWidth="1"/>
    <col min="15111" max="15111" width="9.5" style="1" customWidth="1"/>
    <col min="15112" max="15112" width="10.19921875" style="1" customWidth="1"/>
    <col min="15113" max="15113" width="9" style="1" customWidth="1"/>
    <col min="15114" max="15115" width="4.19921875" style="1" customWidth="1"/>
    <col min="15116" max="15116" width="8.59765625" style="1" customWidth="1"/>
    <col min="15117" max="15117" width="4.19921875" style="1" customWidth="1"/>
    <col min="15118" max="15118" width="11.59765625" style="1" customWidth="1"/>
    <col min="15119" max="15358" width="8.69921875" style="1"/>
    <col min="15359" max="15359" width="3.8984375" style="1" customWidth="1"/>
    <col min="15360" max="15360" width="4.09765625" style="1" customWidth="1"/>
    <col min="15361" max="15361" width="19.19921875" style="1" customWidth="1"/>
    <col min="15362" max="15362" width="25.09765625" style="1" customWidth="1"/>
    <col min="15363" max="15363" width="9.3984375" style="1" customWidth="1"/>
    <col min="15364" max="15364" width="9.8984375" style="1" bestFit="1" customWidth="1"/>
    <col min="15365" max="15365" width="9.09765625" style="1" customWidth="1"/>
    <col min="15366" max="15366" width="10.69921875" style="1" customWidth="1"/>
    <col min="15367" max="15367" width="9.5" style="1" customWidth="1"/>
    <col min="15368" max="15368" width="10.19921875" style="1" customWidth="1"/>
    <col min="15369" max="15369" width="9" style="1" customWidth="1"/>
    <col min="15370" max="15371" width="4.19921875" style="1" customWidth="1"/>
    <col min="15372" max="15372" width="8.59765625" style="1" customWidth="1"/>
    <col min="15373" max="15373" width="4.19921875" style="1" customWidth="1"/>
    <col min="15374" max="15374" width="11.59765625" style="1" customWidth="1"/>
    <col min="15375" max="15614" width="8.69921875" style="1"/>
    <col min="15615" max="15615" width="3.8984375" style="1" customWidth="1"/>
    <col min="15616" max="15616" width="4.09765625" style="1" customWidth="1"/>
    <col min="15617" max="15617" width="19.19921875" style="1" customWidth="1"/>
    <col min="15618" max="15618" width="25.09765625" style="1" customWidth="1"/>
    <col min="15619" max="15619" width="9.3984375" style="1" customWidth="1"/>
    <col min="15620" max="15620" width="9.8984375" style="1" bestFit="1" customWidth="1"/>
    <col min="15621" max="15621" width="9.09765625" style="1" customWidth="1"/>
    <col min="15622" max="15622" width="10.69921875" style="1" customWidth="1"/>
    <col min="15623" max="15623" width="9.5" style="1" customWidth="1"/>
    <col min="15624" max="15624" width="10.19921875" style="1" customWidth="1"/>
    <col min="15625" max="15625" width="9" style="1" customWidth="1"/>
    <col min="15626" max="15627" width="4.19921875" style="1" customWidth="1"/>
    <col min="15628" max="15628" width="8.59765625" style="1" customWidth="1"/>
    <col min="15629" max="15629" width="4.19921875" style="1" customWidth="1"/>
    <col min="15630" max="15630" width="11.59765625" style="1" customWidth="1"/>
    <col min="15631" max="15870" width="8.69921875" style="1"/>
    <col min="15871" max="15871" width="3.8984375" style="1" customWidth="1"/>
    <col min="15872" max="15872" width="4.09765625" style="1" customWidth="1"/>
    <col min="15873" max="15873" width="19.19921875" style="1" customWidth="1"/>
    <col min="15874" max="15874" width="25.09765625" style="1" customWidth="1"/>
    <col min="15875" max="15875" width="9.3984375" style="1" customWidth="1"/>
    <col min="15876" max="15876" width="9.8984375" style="1" bestFit="1" customWidth="1"/>
    <col min="15877" max="15877" width="9.09765625" style="1" customWidth="1"/>
    <col min="15878" max="15878" width="10.69921875" style="1" customWidth="1"/>
    <col min="15879" max="15879" width="9.5" style="1" customWidth="1"/>
    <col min="15880" max="15880" width="10.19921875" style="1" customWidth="1"/>
    <col min="15881" max="15881" width="9" style="1" customWidth="1"/>
    <col min="15882" max="15883" width="4.19921875" style="1" customWidth="1"/>
    <col min="15884" max="15884" width="8.59765625" style="1" customWidth="1"/>
    <col min="15885" max="15885" width="4.19921875" style="1" customWidth="1"/>
    <col min="15886" max="15886" width="11.59765625" style="1" customWidth="1"/>
    <col min="15887" max="16126" width="8.69921875" style="1"/>
    <col min="16127" max="16127" width="3.8984375" style="1" customWidth="1"/>
    <col min="16128" max="16128" width="4.09765625" style="1" customWidth="1"/>
    <col min="16129" max="16129" width="19.19921875" style="1" customWidth="1"/>
    <col min="16130" max="16130" width="25.09765625" style="1" customWidth="1"/>
    <col min="16131" max="16131" width="9.3984375" style="1" customWidth="1"/>
    <col min="16132" max="16132" width="9.8984375" style="1" bestFit="1" customWidth="1"/>
    <col min="16133" max="16133" width="9.09765625" style="1" customWidth="1"/>
    <col min="16134" max="16134" width="10.69921875" style="1" customWidth="1"/>
    <col min="16135" max="16135" width="9.5" style="1" customWidth="1"/>
    <col min="16136" max="16136" width="10.19921875" style="1" customWidth="1"/>
    <col min="16137" max="16137" width="9" style="1" customWidth="1"/>
    <col min="16138" max="16139" width="4.19921875" style="1" customWidth="1"/>
    <col min="16140" max="16140" width="8.59765625" style="1" customWidth="1"/>
    <col min="16141" max="16141" width="4.19921875" style="1" customWidth="1"/>
    <col min="16142" max="16142" width="11.59765625" style="1" customWidth="1"/>
    <col min="16143" max="16383" width="8.69921875" style="1"/>
    <col min="16384" max="16384" width="8.69921875" style="1" customWidth="1"/>
  </cols>
  <sheetData>
    <row r="1" spans="1:24" x14ac:dyDescent="0.25">
      <c r="A1" s="117" t="s">
        <v>0</v>
      </c>
      <c r="B1" s="117"/>
      <c r="C1" s="117"/>
      <c r="R1" s="252" t="s">
        <v>1</v>
      </c>
      <c r="S1" s="252"/>
      <c r="T1" s="49" t="str">
        <f>DG!H1</f>
        <v>22/2023</v>
      </c>
    </row>
    <row r="2" spans="1:24" ht="11.1" customHeight="1" x14ac:dyDescent="0.25">
      <c r="A2" s="256"/>
      <c r="B2" s="256"/>
      <c r="C2" s="256"/>
    </row>
    <row r="3" spans="1:24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63" t="s">
        <v>3</v>
      </c>
      <c r="W3" s="64">
        <v>0.19</v>
      </c>
    </row>
    <row r="4" spans="1:24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</row>
    <row r="5" spans="1:24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</row>
    <row r="6" spans="1:24" ht="11.1" customHeight="1" x14ac:dyDescent="0.25">
      <c r="C6" s="235" t="s">
        <v>5</v>
      </c>
      <c r="D6" s="235"/>
      <c r="E6" s="65">
        <f>DG!E6</f>
        <v>45139</v>
      </c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>
        <f>DG!E6</f>
        <v>45139</v>
      </c>
      <c r="R6" s="2">
        <f>DG!F6</f>
        <v>4.9307999999999996</v>
      </c>
      <c r="S6" s="3" t="s">
        <v>6</v>
      </c>
      <c r="T6" s="4"/>
    </row>
    <row r="7" spans="1:24" ht="14.25" customHeight="1" x14ac:dyDescent="0.25">
      <c r="A7" s="236" t="s">
        <v>7</v>
      </c>
      <c r="B7" s="236"/>
      <c r="C7" s="236"/>
      <c r="D7" s="5"/>
      <c r="E7" s="124" t="s">
        <v>804</v>
      </c>
      <c r="F7" s="124" t="s">
        <v>805</v>
      </c>
      <c r="G7" s="124" t="s">
        <v>806</v>
      </c>
      <c r="H7" s="124" t="s">
        <v>873</v>
      </c>
      <c r="I7" s="124" t="s">
        <v>1871</v>
      </c>
      <c r="J7" s="124" t="s">
        <v>966</v>
      </c>
      <c r="K7" s="124" t="s">
        <v>1872</v>
      </c>
      <c r="L7" s="124" t="s">
        <v>1036</v>
      </c>
      <c r="M7" s="124" t="s">
        <v>1156</v>
      </c>
      <c r="N7" s="124" t="s">
        <v>1157</v>
      </c>
      <c r="O7" s="124" t="s">
        <v>1158</v>
      </c>
      <c r="P7" s="124" t="s">
        <v>1159</v>
      </c>
      <c r="Q7" s="125" t="s">
        <v>156</v>
      </c>
      <c r="T7" s="206" t="str">
        <f>DG!H7</f>
        <v>Scenariul 1</v>
      </c>
      <c r="U7" s="206"/>
      <c r="V7" s="6"/>
    </row>
    <row r="8" spans="1:24" ht="12" customHeight="1" x14ac:dyDescent="0.25">
      <c r="A8" s="40"/>
      <c r="B8" s="237" t="s">
        <v>10</v>
      </c>
      <c r="C8" s="238"/>
      <c r="D8" s="238"/>
      <c r="E8" s="237" t="s">
        <v>11</v>
      </c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9"/>
      <c r="S8" s="237" t="s">
        <v>12</v>
      </c>
      <c r="T8" s="258" t="s">
        <v>13</v>
      </c>
      <c r="U8" s="238"/>
    </row>
    <row r="9" spans="1:24" ht="12" customHeight="1" x14ac:dyDescent="0.25">
      <c r="A9" s="40" t="s">
        <v>14</v>
      </c>
      <c r="B9" s="238"/>
      <c r="C9" s="238"/>
      <c r="D9" s="238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38"/>
      <c r="U9" s="238"/>
    </row>
    <row r="10" spans="1:24" ht="11.1" customHeight="1" x14ac:dyDescent="0.25">
      <c r="A10" s="40" t="s">
        <v>15</v>
      </c>
      <c r="B10" s="238"/>
      <c r="C10" s="238"/>
      <c r="D10" s="238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59" t="s">
        <v>16</v>
      </c>
      <c r="U10" s="259"/>
      <c r="V10" s="7"/>
    </row>
    <row r="11" spans="1:24" ht="11.1" customHeight="1" x14ac:dyDescent="0.25">
      <c r="A11" s="40"/>
      <c r="B11" s="238"/>
      <c r="C11" s="238"/>
      <c r="D11" s="238"/>
      <c r="E11" s="16" t="s">
        <v>17</v>
      </c>
      <c r="F11" s="16" t="s">
        <v>17</v>
      </c>
      <c r="G11" s="16" t="s">
        <v>17</v>
      </c>
      <c r="H11" s="16" t="s">
        <v>17</v>
      </c>
      <c r="I11" s="16" t="s">
        <v>17</v>
      </c>
      <c r="J11" s="16" t="s">
        <v>17</v>
      </c>
      <c r="K11" s="16" t="s">
        <v>17</v>
      </c>
      <c r="L11" s="16" t="s">
        <v>17</v>
      </c>
      <c r="M11" s="16" t="s">
        <v>17</v>
      </c>
      <c r="N11" s="16" t="s">
        <v>17</v>
      </c>
      <c r="O11" s="16" t="s">
        <v>17</v>
      </c>
      <c r="P11" s="16" t="s">
        <v>17</v>
      </c>
      <c r="Q11" s="16" t="s">
        <v>17</v>
      </c>
      <c r="R11" s="16" t="s">
        <v>18</v>
      </c>
      <c r="S11" s="16" t="s">
        <v>17</v>
      </c>
      <c r="T11" s="16" t="s">
        <v>17</v>
      </c>
      <c r="U11" s="16" t="s">
        <v>18</v>
      </c>
    </row>
    <row r="12" spans="1:24" ht="11.1" customHeight="1" x14ac:dyDescent="0.25">
      <c r="A12" s="40">
        <v>1</v>
      </c>
      <c r="B12" s="251">
        <v>2</v>
      </c>
      <c r="C12" s="251"/>
      <c r="D12" s="251"/>
      <c r="E12" s="16">
        <v>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>
        <v>4</v>
      </c>
      <c r="S12" s="16">
        <v>5</v>
      </c>
      <c r="T12" s="16">
        <v>6</v>
      </c>
      <c r="U12" s="16">
        <v>7</v>
      </c>
    </row>
    <row r="13" spans="1:24" ht="11.1" customHeight="1" x14ac:dyDescent="0.25">
      <c r="A13" s="39"/>
      <c r="B13" s="15"/>
      <c r="C13" s="240" t="s">
        <v>19</v>
      </c>
      <c r="D13" s="241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8"/>
      <c r="S13" s="8"/>
      <c r="T13" s="17"/>
      <c r="U13" s="17"/>
    </row>
    <row r="14" spans="1:24" ht="11.1" customHeight="1" x14ac:dyDescent="0.25">
      <c r="A14" s="39"/>
      <c r="B14" s="246" t="s">
        <v>20</v>
      </c>
      <c r="C14" s="247"/>
      <c r="D14" s="248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9"/>
      <c r="S14" s="9"/>
      <c r="T14" s="19"/>
      <c r="U14" s="19"/>
    </row>
    <row r="15" spans="1:24" ht="11.1" customHeight="1" x14ac:dyDescent="0.25">
      <c r="A15" s="41" t="s">
        <v>21</v>
      </c>
      <c r="B15" s="15"/>
      <c r="C15" s="227" t="s">
        <v>22</v>
      </c>
      <c r="D15" s="228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f>SUM(E15:P15)</f>
        <v>0</v>
      </c>
      <c r="R15" s="8">
        <f>Q15/$R$6</f>
        <v>0</v>
      </c>
      <c r="S15" s="8">
        <f>ROUND(E15*$W$3,2)</f>
        <v>0</v>
      </c>
      <c r="T15" s="8">
        <f>E15+S15</f>
        <v>0</v>
      </c>
      <c r="U15" s="8">
        <f t="shared" ref="U15:U18" si="0">T15/$R$6</f>
        <v>0</v>
      </c>
      <c r="W15" s="32"/>
    </row>
    <row r="16" spans="1:24" ht="11.1" customHeight="1" x14ac:dyDescent="0.25">
      <c r="A16" s="44" t="s">
        <v>23</v>
      </c>
      <c r="B16" s="55"/>
      <c r="C16" s="242" t="s">
        <v>24</v>
      </c>
      <c r="D16" s="243"/>
      <c r="E16" s="8">
        <f>'(1)F1 Bel'!C15</f>
        <v>0</v>
      </c>
      <c r="F16" s="8">
        <f>'DG Tab'!E17</f>
        <v>0</v>
      </c>
      <c r="G16" s="8">
        <f>'(3)F1 Trif'!C15</f>
        <v>0</v>
      </c>
      <c r="H16" s="8">
        <f>'DG IMR'!E17</f>
        <v>0</v>
      </c>
      <c r="I16" s="8">
        <f>'DG PAL'!E17</f>
        <v>0</v>
      </c>
      <c r="J16" s="8">
        <f>'DG PNG'!E17</f>
        <v>0</v>
      </c>
      <c r="K16" s="8">
        <f>'DG RV'!$E$17</f>
        <v>0</v>
      </c>
      <c r="L16" s="8">
        <f>'DG Del'!$E$17</f>
        <v>0</v>
      </c>
      <c r="M16" s="8">
        <f>'DG Iac'!$E$17</f>
        <v>0</v>
      </c>
      <c r="N16" s="8">
        <f>'DG Rad'!$E$17</f>
        <v>0</v>
      </c>
      <c r="O16" s="8">
        <f>'DG Tar'!$E$17</f>
        <v>0</v>
      </c>
      <c r="P16" s="8">
        <f>'DG Mir'!$E$17</f>
        <v>0</v>
      </c>
      <c r="Q16" s="8">
        <f>SUM(E16:P16)</f>
        <v>0</v>
      </c>
      <c r="R16" s="36">
        <f t="shared" ref="R16:R18" si="1">Q16/$R$6</f>
        <v>0</v>
      </c>
      <c r="S16" s="36">
        <f>ROUND(Q16*$W$3,2)</f>
        <v>0</v>
      </c>
      <c r="T16" s="36">
        <f>Q16+S16</f>
        <v>0</v>
      </c>
      <c r="U16" s="36">
        <f t="shared" si="0"/>
        <v>0</v>
      </c>
      <c r="X16" s="54"/>
    </row>
    <row r="17" spans="1:24" ht="11.1" customHeight="1" x14ac:dyDescent="0.25">
      <c r="A17" s="44" t="s">
        <v>39</v>
      </c>
      <c r="B17" s="115"/>
      <c r="C17" s="55" t="s">
        <v>40</v>
      </c>
      <c r="D17" s="55"/>
      <c r="E17" s="8">
        <f>'(1)F1 Bel'!C38</f>
        <v>0</v>
      </c>
      <c r="F17" s="8">
        <f>'DG Tab'!E22</f>
        <v>0</v>
      </c>
      <c r="G17" s="8">
        <f>'(3)F1 Trif'!C36</f>
        <v>0</v>
      </c>
      <c r="H17" s="8">
        <f>'DG IMR'!E22</f>
        <v>0</v>
      </c>
      <c r="I17" s="8">
        <f>'DG PAL'!E22</f>
        <v>0</v>
      </c>
      <c r="J17" s="8">
        <f>'DG PNG'!E22</f>
        <v>0</v>
      </c>
      <c r="K17" s="8">
        <f>'DG RV'!$E$22</f>
        <v>0</v>
      </c>
      <c r="L17" s="8">
        <f>'DG Del'!$E$22</f>
        <v>0</v>
      </c>
      <c r="M17" s="8">
        <f>'DG Iac'!$E$22</f>
        <v>0</v>
      </c>
      <c r="N17" s="8">
        <f>'DG Rad'!$E$22</f>
        <v>0</v>
      </c>
      <c r="O17" s="8">
        <f>'DG Tar'!$E$22</f>
        <v>0</v>
      </c>
      <c r="P17" s="8">
        <f>'DG Mir'!$E$22</f>
        <v>0</v>
      </c>
      <c r="Q17" s="8">
        <f>SUM(E17:P17)</f>
        <v>0</v>
      </c>
      <c r="R17" s="36">
        <f t="shared" si="1"/>
        <v>0</v>
      </c>
      <c r="S17" s="36">
        <f>ROUND(Q17*$W$3,2)</f>
        <v>0</v>
      </c>
      <c r="T17" s="36">
        <f>Q17+S17</f>
        <v>0</v>
      </c>
      <c r="U17" s="36">
        <f t="shared" si="0"/>
        <v>0</v>
      </c>
      <c r="X17" s="54"/>
    </row>
    <row r="18" spans="1:24" ht="11.1" customHeight="1" x14ac:dyDescent="0.25">
      <c r="A18" s="39">
        <v>1.4</v>
      </c>
      <c r="B18" s="15"/>
      <c r="C18" s="15" t="s">
        <v>48</v>
      </c>
      <c r="D18" s="15"/>
      <c r="E18" s="8">
        <v>0</v>
      </c>
      <c r="F18" s="8">
        <f>'DG Tab'!E24</f>
        <v>0</v>
      </c>
      <c r="G18" s="8">
        <f>'(3)F1 Trif'!C37</f>
        <v>0</v>
      </c>
      <c r="H18" s="8">
        <f>'DG IMR'!E24</f>
        <v>0</v>
      </c>
      <c r="I18" s="8">
        <f>'DG PAL'!E24</f>
        <v>0</v>
      </c>
      <c r="J18" s="8">
        <f>'DG PAL'!F24</f>
        <v>0</v>
      </c>
      <c r="K18" s="8">
        <f>'DG RV'!$E$24</f>
        <v>0</v>
      </c>
      <c r="L18" s="8">
        <f>'DG Del'!$E$24</f>
        <v>0</v>
      </c>
      <c r="M18" s="8">
        <f>'DG Iac'!$E$24</f>
        <v>0</v>
      </c>
      <c r="N18" s="8">
        <f>'DG Rad'!$E$24</f>
        <v>0</v>
      </c>
      <c r="O18" s="8">
        <f>'DG Tar'!$E$24</f>
        <v>0</v>
      </c>
      <c r="P18" s="8">
        <f>'DG Mir'!$E$24</f>
        <v>0</v>
      </c>
      <c r="Q18" s="8"/>
      <c r="R18" s="8">
        <f t="shared" si="1"/>
        <v>0</v>
      </c>
      <c r="S18" s="8">
        <f>ROUND(E18*$W$3,2)</f>
        <v>0</v>
      </c>
      <c r="T18" s="8">
        <f>E18+S18</f>
        <v>0</v>
      </c>
      <c r="U18" s="8">
        <f t="shared" si="0"/>
        <v>0</v>
      </c>
      <c r="X18" s="54"/>
    </row>
    <row r="19" spans="1:24" ht="11.1" customHeight="1" x14ac:dyDescent="0.25">
      <c r="A19" s="42"/>
      <c r="B19" s="25"/>
      <c r="C19" s="215" t="s">
        <v>49</v>
      </c>
      <c r="D19" s="216"/>
      <c r="E19" s="26">
        <f>E15+E16+E17+E18</f>
        <v>0</v>
      </c>
      <c r="F19" s="26">
        <f t="shared" ref="F19:Q19" si="2">F15+F16+F17+F18</f>
        <v>0</v>
      </c>
      <c r="G19" s="26">
        <f t="shared" si="2"/>
        <v>0</v>
      </c>
      <c r="H19" s="26">
        <f t="shared" si="2"/>
        <v>0</v>
      </c>
      <c r="I19" s="26">
        <f t="shared" si="2"/>
        <v>0</v>
      </c>
      <c r="J19" s="26">
        <f t="shared" ref="J19" si="3">J15+J16+J17+J18</f>
        <v>0</v>
      </c>
      <c r="K19" s="26">
        <f t="shared" ref="K19:L19" si="4">K15+K16+K17+K18</f>
        <v>0</v>
      </c>
      <c r="L19" s="26">
        <f t="shared" si="4"/>
        <v>0</v>
      </c>
      <c r="M19" s="26">
        <f t="shared" ref="M19:P19" si="5">M15+M16+M17+M18</f>
        <v>0</v>
      </c>
      <c r="N19" s="26">
        <f t="shared" si="5"/>
        <v>0</v>
      </c>
      <c r="O19" s="26">
        <f t="shared" si="5"/>
        <v>0</v>
      </c>
      <c r="P19" s="26">
        <f t="shared" si="5"/>
        <v>0</v>
      </c>
      <c r="Q19" s="26">
        <f t="shared" si="2"/>
        <v>0</v>
      </c>
      <c r="R19" s="26">
        <f>R15+R16+R17+R18</f>
        <v>0</v>
      </c>
      <c r="S19" s="26">
        <f>S15+S16+S17+S18</f>
        <v>0</v>
      </c>
      <c r="T19" s="26">
        <f>T15+T16+T17+T18</f>
        <v>0</v>
      </c>
      <c r="U19" s="26">
        <f>U15+U16+U17+U18</f>
        <v>0</v>
      </c>
      <c r="W19" s="135"/>
      <c r="X19" s="54"/>
    </row>
    <row r="20" spans="1:24" ht="11.1" customHeight="1" x14ac:dyDescent="0.25">
      <c r="A20" s="39"/>
      <c r="B20" s="246" t="s">
        <v>50</v>
      </c>
      <c r="C20" s="247"/>
      <c r="D20" s="248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8"/>
      <c r="T20" s="9"/>
      <c r="U20" s="8"/>
    </row>
    <row r="21" spans="1:24" ht="11.1" customHeight="1" x14ac:dyDescent="0.25">
      <c r="A21" s="39">
        <v>2.1</v>
      </c>
      <c r="B21" s="18"/>
      <c r="C21" s="245" t="s">
        <v>51</v>
      </c>
      <c r="D21" s="245"/>
      <c r="E21" s="8">
        <v>0</v>
      </c>
      <c r="F21" s="8">
        <f>'DG Tab'!E27</f>
        <v>0</v>
      </c>
      <c r="G21" s="8">
        <f>'DG Trif'!E27</f>
        <v>0</v>
      </c>
      <c r="H21" s="8">
        <f>'DG IMR'!E27</f>
        <v>0</v>
      </c>
      <c r="I21" s="8">
        <f>'DG PAL'!E27</f>
        <v>0</v>
      </c>
      <c r="J21" s="8">
        <f>'DG PAL'!E27</f>
        <v>0</v>
      </c>
      <c r="K21" s="8">
        <f>'DG RV'!$E$27</f>
        <v>0</v>
      </c>
      <c r="L21" s="8">
        <f>'DG RV'!$E$27</f>
        <v>0</v>
      </c>
      <c r="M21" s="8">
        <f>'DG Iac'!$E$27</f>
        <v>0</v>
      </c>
      <c r="N21" s="8">
        <f>'DG Rad'!$E$27</f>
        <v>0</v>
      </c>
      <c r="O21" s="8">
        <f>'DG Tar'!$E$27</f>
        <v>0</v>
      </c>
      <c r="P21" s="8">
        <f>'DG Mir'!$E$27</f>
        <v>0</v>
      </c>
      <c r="Q21" s="8">
        <f>SUM(E21:P21)</f>
        <v>0</v>
      </c>
      <c r="R21" s="8">
        <f>ROUND(E21/$R$6,2)</f>
        <v>0</v>
      </c>
      <c r="S21" s="8">
        <f>ROUND(E21*$W$3,2)</f>
        <v>0</v>
      </c>
      <c r="T21" s="8">
        <f>E21+S21</f>
        <v>0</v>
      </c>
      <c r="U21" s="8">
        <f t="shared" ref="U21" si="6">ROUND(S21/$R$6,2)+R21</f>
        <v>0</v>
      </c>
    </row>
    <row r="22" spans="1:24" ht="11.1" customHeight="1" x14ac:dyDescent="0.25">
      <c r="A22" s="43"/>
      <c r="B22" s="57"/>
      <c r="C22" s="244" t="s">
        <v>52</v>
      </c>
      <c r="D22" s="244"/>
      <c r="E22" s="26">
        <f>E21</f>
        <v>0</v>
      </c>
      <c r="F22" s="26">
        <f t="shared" ref="F22:Q22" si="7">F21</f>
        <v>0</v>
      </c>
      <c r="G22" s="26">
        <f t="shared" si="7"/>
        <v>0</v>
      </c>
      <c r="H22" s="26">
        <f t="shared" si="7"/>
        <v>0</v>
      </c>
      <c r="I22" s="26">
        <f t="shared" si="7"/>
        <v>0</v>
      </c>
      <c r="J22" s="26">
        <f t="shared" ref="J22" si="8">J21</f>
        <v>0</v>
      </c>
      <c r="K22" s="26">
        <f t="shared" ref="K22:L22" si="9">K21</f>
        <v>0</v>
      </c>
      <c r="L22" s="26">
        <f t="shared" si="9"/>
        <v>0</v>
      </c>
      <c r="M22" s="26">
        <f t="shared" ref="M22:P22" si="10">M21</f>
        <v>0</v>
      </c>
      <c r="N22" s="26">
        <f t="shared" si="10"/>
        <v>0</v>
      </c>
      <c r="O22" s="26">
        <f t="shared" si="10"/>
        <v>0</v>
      </c>
      <c r="P22" s="26">
        <f t="shared" si="10"/>
        <v>0</v>
      </c>
      <c r="Q22" s="26">
        <f t="shared" si="7"/>
        <v>0</v>
      </c>
      <c r="R22" s="26">
        <f t="shared" ref="R22:U22" si="11">R21</f>
        <v>0</v>
      </c>
      <c r="S22" s="26">
        <f t="shared" si="11"/>
        <v>0</v>
      </c>
      <c r="T22" s="26">
        <f t="shared" si="11"/>
        <v>0</v>
      </c>
      <c r="U22" s="26">
        <f t="shared" si="11"/>
        <v>0</v>
      </c>
    </row>
    <row r="23" spans="1:24" ht="11.1" customHeight="1" x14ac:dyDescent="0.25">
      <c r="A23" s="39"/>
      <c r="B23" s="249" t="s">
        <v>53</v>
      </c>
      <c r="C23" s="249"/>
      <c r="D23" s="24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9"/>
      <c r="T23" s="9"/>
      <c r="U23" s="8"/>
    </row>
    <row r="24" spans="1:24" ht="11.1" customHeight="1" x14ac:dyDescent="0.25">
      <c r="A24" s="44" t="s">
        <v>54</v>
      </c>
      <c r="B24" s="55"/>
      <c r="C24" s="250" t="s">
        <v>55</v>
      </c>
      <c r="D24" s="250"/>
      <c r="E24" s="27">
        <f t="shared" ref="E24" si="12">SUM(E25:E27)</f>
        <v>0</v>
      </c>
      <c r="F24" s="27">
        <f t="shared" ref="F24:Q24" si="13">SUM(F25:F27)</f>
        <v>0</v>
      </c>
      <c r="G24" s="27">
        <f t="shared" si="13"/>
        <v>0</v>
      </c>
      <c r="H24" s="27">
        <f t="shared" si="13"/>
        <v>0</v>
      </c>
      <c r="I24" s="27">
        <f t="shared" si="13"/>
        <v>0</v>
      </c>
      <c r="J24" s="27">
        <f t="shared" ref="J24" si="14">SUM(J25:J27)</f>
        <v>0</v>
      </c>
      <c r="K24" s="27">
        <f t="shared" ref="K24:L24" si="15">SUM(K25:K27)</f>
        <v>0</v>
      </c>
      <c r="L24" s="27">
        <f t="shared" si="15"/>
        <v>0</v>
      </c>
      <c r="M24" s="27">
        <f t="shared" ref="M24:P24" si="16">SUM(M25:M27)</f>
        <v>0</v>
      </c>
      <c r="N24" s="27">
        <f t="shared" si="16"/>
        <v>0</v>
      </c>
      <c r="O24" s="27">
        <f t="shared" si="16"/>
        <v>0</v>
      </c>
      <c r="P24" s="27">
        <f t="shared" si="16"/>
        <v>0</v>
      </c>
      <c r="Q24" s="27">
        <f t="shared" si="13"/>
        <v>0</v>
      </c>
      <c r="R24" s="27">
        <f t="shared" ref="R24:U24" si="17">SUM(R25:R27)</f>
        <v>0</v>
      </c>
      <c r="S24" s="27">
        <f t="shared" si="17"/>
        <v>0</v>
      </c>
      <c r="T24" s="27">
        <f t="shared" si="17"/>
        <v>0</v>
      </c>
      <c r="U24" s="27">
        <f t="shared" si="17"/>
        <v>0</v>
      </c>
    </row>
    <row r="25" spans="1:24" ht="11.1" customHeight="1" x14ac:dyDescent="0.25">
      <c r="A25" s="39"/>
      <c r="B25" s="113" t="s">
        <v>56</v>
      </c>
      <c r="C25" s="225" t="s">
        <v>57</v>
      </c>
      <c r="D25" s="225"/>
      <c r="E25" s="23">
        <f>'DG Bel'!E31</f>
        <v>0</v>
      </c>
      <c r="F25" s="8">
        <f>'DG Tab'!E31</f>
        <v>0</v>
      </c>
      <c r="G25" s="23">
        <f>'DG Trif'!E31</f>
        <v>0</v>
      </c>
      <c r="H25" s="8">
        <f>'DG IMR'!E31</f>
        <v>0</v>
      </c>
      <c r="I25" s="8">
        <f>'DG PAL'!E31</f>
        <v>0</v>
      </c>
      <c r="J25" s="8">
        <f>'DG PNG'!E31</f>
        <v>0</v>
      </c>
      <c r="K25" s="8">
        <f>'DG RV'!$E$31</f>
        <v>0</v>
      </c>
      <c r="L25" s="8">
        <f>'DG Del'!$E$31</f>
        <v>0</v>
      </c>
      <c r="M25" s="8">
        <f>'DG Iac'!$E$31</f>
        <v>0</v>
      </c>
      <c r="N25" s="8">
        <f>'DG Rad'!$E$31</f>
        <v>0</v>
      </c>
      <c r="O25" s="8">
        <f>'DG Tar'!$E$31</f>
        <v>0</v>
      </c>
      <c r="P25" s="8">
        <f>'DG Mir'!$E$31</f>
        <v>0</v>
      </c>
      <c r="Q25" s="8">
        <f t="shared" ref="Q25:Q30" si="18">SUM(E25:P25)</f>
        <v>0</v>
      </c>
      <c r="R25" s="8">
        <f t="shared" ref="R25:R30" si="19">ROUND(Q25/$R$6,2)</f>
        <v>0</v>
      </c>
      <c r="S25" s="8">
        <f t="shared" ref="S25:S30" si="20">ROUND(Q25*$W$3,2)</f>
        <v>0</v>
      </c>
      <c r="T25" s="8">
        <f t="shared" ref="T25:T30" si="21">Q25+S25</f>
        <v>0</v>
      </c>
      <c r="U25" s="8">
        <f t="shared" ref="U25:U30" si="22">ROUND(S25/$R$6,2)+R25</f>
        <v>0</v>
      </c>
    </row>
    <row r="26" spans="1:24" ht="11.1" customHeight="1" x14ac:dyDescent="0.25">
      <c r="A26" s="39"/>
      <c r="B26" s="113" t="s">
        <v>58</v>
      </c>
      <c r="C26" s="225" t="s">
        <v>59</v>
      </c>
      <c r="D26" s="225"/>
      <c r="E26" s="23">
        <f>'DG Bel'!E32</f>
        <v>0</v>
      </c>
      <c r="F26" s="8">
        <f>'DG Tab'!E32</f>
        <v>0</v>
      </c>
      <c r="G26" s="23">
        <f>'DG Trif'!E32</f>
        <v>0</v>
      </c>
      <c r="H26" s="8">
        <f>'DG IMR'!E32</f>
        <v>0</v>
      </c>
      <c r="I26" s="8">
        <f>'DG PAL'!E32</f>
        <v>0</v>
      </c>
      <c r="J26" s="8">
        <f>'DG PNG'!E32</f>
        <v>0</v>
      </c>
      <c r="K26" s="8">
        <f>'DG RV'!$E$32</f>
        <v>0</v>
      </c>
      <c r="L26" s="8">
        <f>'DG Del'!$E$32</f>
        <v>0</v>
      </c>
      <c r="M26" s="8">
        <f>'DG Iac'!$E$32</f>
        <v>0</v>
      </c>
      <c r="N26" s="8">
        <f>'DG Rad'!$E$32</f>
        <v>0</v>
      </c>
      <c r="O26" s="8">
        <f>'DG Tar'!$E$32</f>
        <v>0</v>
      </c>
      <c r="P26" s="8">
        <f>'DG Mir'!$E$32</f>
        <v>0</v>
      </c>
      <c r="Q26" s="8">
        <f t="shared" si="18"/>
        <v>0</v>
      </c>
      <c r="R26" s="8">
        <f t="shared" si="19"/>
        <v>0</v>
      </c>
      <c r="S26" s="8">
        <f t="shared" si="20"/>
        <v>0</v>
      </c>
      <c r="T26" s="8">
        <f t="shared" si="21"/>
        <v>0</v>
      </c>
      <c r="U26" s="8">
        <f t="shared" si="22"/>
        <v>0</v>
      </c>
    </row>
    <row r="27" spans="1:24" ht="11.1" customHeight="1" x14ac:dyDescent="0.25">
      <c r="A27" s="39"/>
      <c r="B27" s="113" t="s">
        <v>60</v>
      </c>
      <c r="C27" s="226" t="s">
        <v>61</v>
      </c>
      <c r="D27" s="226"/>
      <c r="E27" s="23">
        <f>'DG Bel'!E33</f>
        <v>0</v>
      </c>
      <c r="F27" s="8">
        <f>'DG Tab'!E33</f>
        <v>0</v>
      </c>
      <c r="G27" s="23">
        <f>'DG Trif'!E33</f>
        <v>0</v>
      </c>
      <c r="H27" s="8">
        <f>'DG IMR'!E33</f>
        <v>0</v>
      </c>
      <c r="I27" s="8">
        <f>'DG PAL'!E33</f>
        <v>0</v>
      </c>
      <c r="J27" s="8">
        <f>'DG PNG'!E33</f>
        <v>0</v>
      </c>
      <c r="K27" s="8">
        <f>'DG RV'!$E$33</f>
        <v>0</v>
      </c>
      <c r="L27" s="8">
        <f>'DG Del'!$E$33</f>
        <v>0</v>
      </c>
      <c r="M27" s="8">
        <f>'DG Iac'!$E$33</f>
        <v>0</v>
      </c>
      <c r="N27" s="8">
        <f>'DG Rad'!$E$33</f>
        <v>0</v>
      </c>
      <c r="O27" s="8">
        <f>'DG Tar'!$E$33</f>
        <v>0</v>
      </c>
      <c r="P27" s="8">
        <f>'DG Mir'!$E$33</f>
        <v>0</v>
      </c>
      <c r="Q27" s="8">
        <f t="shared" si="18"/>
        <v>0</v>
      </c>
      <c r="R27" s="8">
        <f t="shared" si="19"/>
        <v>0</v>
      </c>
      <c r="S27" s="8">
        <f t="shared" si="20"/>
        <v>0</v>
      </c>
      <c r="T27" s="8">
        <f t="shared" si="21"/>
        <v>0</v>
      </c>
      <c r="U27" s="8">
        <f t="shared" si="22"/>
        <v>0</v>
      </c>
    </row>
    <row r="28" spans="1:24" ht="22.2" customHeight="1" x14ac:dyDescent="0.25">
      <c r="A28" s="39" t="s">
        <v>62</v>
      </c>
      <c r="B28" s="15"/>
      <c r="C28" s="260" t="s">
        <v>63</v>
      </c>
      <c r="D28" s="260"/>
      <c r="E28" s="23">
        <f>'DG Bel'!E34</f>
        <v>0</v>
      </c>
      <c r="F28" s="8">
        <f>'DG Tab'!E34</f>
        <v>0</v>
      </c>
      <c r="G28" s="23">
        <f>'DG Trif'!E34</f>
        <v>0</v>
      </c>
      <c r="H28" s="8">
        <f>'DG IMR'!E34</f>
        <v>0</v>
      </c>
      <c r="I28" s="8">
        <f>'DG PAL'!E34</f>
        <v>0</v>
      </c>
      <c r="J28" s="8">
        <f>'DG PNG'!E34</f>
        <v>0</v>
      </c>
      <c r="K28" s="8">
        <f>'DG RV'!$E$34</f>
        <v>0</v>
      </c>
      <c r="L28" s="8">
        <f>'DG Del'!$E$34</f>
        <v>0</v>
      </c>
      <c r="M28" s="8">
        <f>'DG Iac'!$E$34</f>
        <v>0</v>
      </c>
      <c r="N28" s="8">
        <f>'DG Rad'!$E$34</f>
        <v>0</v>
      </c>
      <c r="O28" s="8">
        <f>'DG Tar'!$E$34</f>
        <v>0</v>
      </c>
      <c r="P28" s="8">
        <f>'DG Mir'!$E$34</f>
        <v>0</v>
      </c>
      <c r="Q28" s="8">
        <f t="shared" si="18"/>
        <v>0</v>
      </c>
      <c r="R28" s="8">
        <f t="shared" si="19"/>
        <v>0</v>
      </c>
      <c r="S28" s="8">
        <f t="shared" si="20"/>
        <v>0</v>
      </c>
      <c r="T28" s="8">
        <f t="shared" si="21"/>
        <v>0</v>
      </c>
      <c r="U28" s="8">
        <f t="shared" si="22"/>
        <v>0</v>
      </c>
      <c r="V28" s="7"/>
    </row>
    <row r="29" spans="1:24" ht="11.1" customHeight="1" x14ac:dyDescent="0.25">
      <c r="A29" s="39" t="s">
        <v>64</v>
      </c>
      <c r="B29" s="15"/>
      <c r="C29" s="227" t="s">
        <v>65</v>
      </c>
      <c r="D29" s="228"/>
      <c r="E29" s="23">
        <f>'DG Bel'!E35</f>
        <v>0</v>
      </c>
      <c r="F29" s="8">
        <f>'DG Tab'!E35</f>
        <v>0</v>
      </c>
      <c r="G29" s="23">
        <f>'DG Trif'!E35</f>
        <v>0</v>
      </c>
      <c r="H29" s="8">
        <f>'DG IMR'!E35</f>
        <v>0</v>
      </c>
      <c r="I29" s="8">
        <f>'DG PAL'!E35</f>
        <v>0</v>
      </c>
      <c r="J29" s="8">
        <f>'DG PNG'!E35</f>
        <v>0</v>
      </c>
      <c r="K29" s="8">
        <f>'DG RV'!$E$35</f>
        <v>0</v>
      </c>
      <c r="L29" s="8">
        <f>'DG Del'!$E$35</f>
        <v>0</v>
      </c>
      <c r="M29" s="8">
        <f>'DG Iac'!$E$35</f>
        <v>0</v>
      </c>
      <c r="N29" s="8">
        <f>'DG Rad'!$E$35</f>
        <v>0</v>
      </c>
      <c r="O29" s="8">
        <f>'DG Tar'!$E$35</f>
        <v>0</v>
      </c>
      <c r="P29" s="8">
        <f>'DG Mir'!$E$35</f>
        <v>0</v>
      </c>
      <c r="Q29" s="8">
        <f t="shared" si="18"/>
        <v>0</v>
      </c>
      <c r="R29" s="8">
        <f t="shared" si="19"/>
        <v>0</v>
      </c>
      <c r="S29" s="8">
        <f t="shared" si="20"/>
        <v>0</v>
      </c>
      <c r="T29" s="8">
        <f t="shared" si="21"/>
        <v>0</v>
      </c>
      <c r="U29" s="8">
        <f t="shared" si="22"/>
        <v>0</v>
      </c>
      <c r="V29" s="7"/>
    </row>
    <row r="30" spans="1:24" x14ac:dyDescent="0.25">
      <c r="A30" s="39" t="s">
        <v>66</v>
      </c>
      <c r="B30" s="15"/>
      <c r="C30" s="260" t="s">
        <v>67</v>
      </c>
      <c r="D30" s="260"/>
      <c r="E30" s="23">
        <f>'DG Bel'!E36</f>
        <v>0</v>
      </c>
      <c r="F30" s="8">
        <f>'DG Tab'!E36</f>
        <v>0</v>
      </c>
      <c r="G30" s="23">
        <f>'DG Trif'!E36</f>
        <v>0</v>
      </c>
      <c r="H30" s="8">
        <f>'DG IMR'!E36</f>
        <v>0</v>
      </c>
      <c r="I30" s="8">
        <f>'DG PAL'!E36</f>
        <v>0</v>
      </c>
      <c r="J30" s="8">
        <f>'DG PNG'!E36</f>
        <v>0</v>
      </c>
      <c r="K30" s="8">
        <f>'DG RV'!$E$36</f>
        <v>0</v>
      </c>
      <c r="L30" s="8">
        <f>'DG Del'!$E$36</f>
        <v>0</v>
      </c>
      <c r="M30" s="8">
        <f>'DG Iac'!$E$36</f>
        <v>0</v>
      </c>
      <c r="N30" s="8">
        <f>'DG Rad'!$E$36</f>
        <v>0</v>
      </c>
      <c r="O30" s="8">
        <f>'DG Tar'!$E$36</f>
        <v>0</v>
      </c>
      <c r="P30" s="8">
        <f>'DG Mir'!$E$36</f>
        <v>0</v>
      </c>
      <c r="Q30" s="8">
        <f t="shared" si="18"/>
        <v>0</v>
      </c>
      <c r="R30" s="8">
        <f t="shared" si="19"/>
        <v>0</v>
      </c>
      <c r="S30" s="8">
        <f t="shared" si="20"/>
        <v>0</v>
      </c>
      <c r="T30" s="8">
        <f t="shared" si="21"/>
        <v>0</v>
      </c>
      <c r="U30" s="8">
        <f t="shared" si="22"/>
        <v>0</v>
      </c>
      <c r="V30" s="7"/>
    </row>
    <row r="31" spans="1:24" ht="11.1" customHeight="1" x14ac:dyDescent="0.25">
      <c r="A31" s="51" t="s">
        <v>68</v>
      </c>
      <c r="B31" s="212" t="s">
        <v>69</v>
      </c>
      <c r="C31" s="212"/>
      <c r="D31" s="212"/>
      <c r="E31" s="36">
        <f t="shared" ref="E31" si="23">SUM(E32:E37)</f>
        <v>0</v>
      </c>
      <c r="F31" s="36">
        <f t="shared" ref="F31:Q31" si="24">SUM(F32:F37)</f>
        <v>0</v>
      </c>
      <c r="G31" s="36">
        <f t="shared" si="24"/>
        <v>0</v>
      </c>
      <c r="H31" s="36">
        <f t="shared" si="24"/>
        <v>0</v>
      </c>
      <c r="I31" s="36">
        <f t="shared" si="24"/>
        <v>0</v>
      </c>
      <c r="J31" s="36">
        <f t="shared" ref="J31" si="25">SUM(J32:J37)</f>
        <v>0</v>
      </c>
      <c r="K31" s="36">
        <f t="shared" ref="K31:L31" si="26">SUM(K32:K37)</f>
        <v>0</v>
      </c>
      <c r="L31" s="36">
        <f t="shared" si="26"/>
        <v>0</v>
      </c>
      <c r="M31" s="36">
        <f t="shared" ref="M31:P31" si="27">SUM(M32:M37)</f>
        <v>0</v>
      </c>
      <c r="N31" s="36">
        <f t="shared" si="27"/>
        <v>0</v>
      </c>
      <c r="O31" s="36">
        <f t="shared" si="27"/>
        <v>0</v>
      </c>
      <c r="P31" s="36">
        <f t="shared" si="27"/>
        <v>0</v>
      </c>
      <c r="Q31" s="36">
        <f t="shared" si="24"/>
        <v>0</v>
      </c>
      <c r="R31" s="36">
        <f t="shared" ref="R31:U31" si="28">SUM(R32:R37)</f>
        <v>0</v>
      </c>
      <c r="S31" s="36">
        <f t="shared" si="28"/>
        <v>0</v>
      </c>
      <c r="T31" s="36">
        <f t="shared" si="28"/>
        <v>0</v>
      </c>
      <c r="U31" s="36">
        <f t="shared" si="28"/>
        <v>0</v>
      </c>
      <c r="V31" s="7"/>
    </row>
    <row r="32" spans="1:24" ht="11.1" customHeight="1" x14ac:dyDescent="0.25">
      <c r="A32" s="50"/>
      <c r="B32" s="261" t="s">
        <v>70</v>
      </c>
      <c r="C32" s="262"/>
      <c r="D32" s="263"/>
      <c r="E32" s="23">
        <f>'DG Bel'!E38</f>
        <v>0</v>
      </c>
      <c r="F32" s="8">
        <f>'DG Tab'!E38</f>
        <v>0</v>
      </c>
      <c r="G32" s="23">
        <f>'DG Trif'!E38</f>
        <v>0</v>
      </c>
      <c r="H32" s="8">
        <f>'DG IMR'!E38</f>
        <v>0</v>
      </c>
      <c r="I32" s="8">
        <f>'DG PAL'!E38</f>
        <v>0</v>
      </c>
      <c r="J32" s="8">
        <f>'DG PNG'!E38</f>
        <v>0</v>
      </c>
      <c r="K32" s="8">
        <f>'DG RV'!$E$38</f>
        <v>0</v>
      </c>
      <c r="L32" s="8">
        <f>'DG Del'!$E$38</f>
        <v>0</v>
      </c>
      <c r="M32" s="8">
        <f>'DG Iac'!$E$38</f>
        <v>0</v>
      </c>
      <c r="N32" s="8">
        <f>'DG Rad'!$E$38</f>
        <v>0</v>
      </c>
      <c r="O32" s="8">
        <f>'DG Tar'!$E$38</f>
        <v>0</v>
      </c>
      <c r="P32" s="8">
        <f>'DG Mir'!$E$38</f>
        <v>0</v>
      </c>
      <c r="Q32" s="8">
        <f t="shared" ref="Q32:Q38" si="29">SUM(E32:P32)</f>
        <v>0</v>
      </c>
      <c r="R32" s="8">
        <f t="shared" ref="R32:R38" si="30">ROUND(Q32/$R$6,2)</f>
        <v>0</v>
      </c>
      <c r="S32" s="8">
        <f t="shared" ref="S32:S37" si="31">ROUND(Q32*$W$3,2)</f>
        <v>0</v>
      </c>
      <c r="T32" s="8">
        <f t="shared" ref="T32:T38" si="32">Q32+S32</f>
        <v>0</v>
      </c>
      <c r="U32" s="8">
        <f t="shared" ref="U32:U38" si="33">ROUND(S32/$R$6,2)+R32</f>
        <v>0</v>
      </c>
      <c r="V32" s="7"/>
    </row>
    <row r="33" spans="1:22" ht="11.1" customHeight="1" x14ac:dyDescent="0.25">
      <c r="A33" s="50"/>
      <c r="B33" s="213" t="s">
        <v>71</v>
      </c>
      <c r="C33" s="213"/>
      <c r="D33" s="213"/>
      <c r="E33" s="23">
        <f>'DG Bel'!E39</f>
        <v>0</v>
      </c>
      <c r="F33" s="8">
        <f>'DG Tab'!E39</f>
        <v>0</v>
      </c>
      <c r="G33" s="23">
        <f>'DG Trif'!E39</f>
        <v>0</v>
      </c>
      <c r="H33" s="8">
        <f>'DG IMR'!E39</f>
        <v>0</v>
      </c>
      <c r="I33" s="8">
        <f>'DG PAL'!E39</f>
        <v>0</v>
      </c>
      <c r="J33" s="8">
        <f>'DG PNG'!E39</f>
        <v>0</v>
      </c>
      <c r="K33" s="8">
        <f>'DG RV'!$E$39</f>
        <v>0</v>
      </c>
      <c r="L33" s="8">
        <f>'DG Del'!$E$39</f>
        <v>0</v>
      </c>
      <c r="M33" s="8">
        <f>'DG Iac'!$E$39</f>
        <v>0</v>
      </c>
      <c r="N33" s="8">
        <f>'DG Rad'!$E$39</f>
        <v>0</v>
      </c>
      <c r="O33" s="8">
        <f>'DG Tar'!$E$39</f>
        <v>0</v>
      </c>
      <c r="P33" s="8">
        <f>'DG Mir'!$E$39</f>
        <v>0</v>
      </c>
      <c r="Q33" s="8">
        <f t="shared" si="29"/>
        <v>0</v>
      </c>
      <c r="R33" s="8">
        <f t="shared" si="30"/>
        <v>0</v>
      </c>
      <c r="S33" s="8">
        <f t="shared" si="31"/>
        <v>0</v>
      </c>
      <c r="T33" s="8">
        <f t="shared" si="32"/>
        <v>0</v>
      </c>
      <c r="U33" s="8">
        <f t="shared" si="33"/>
        <v>0</v>
      </c>
      <c r="V33" s="7"/>
    </row>
    <row r="34" spans="1:22" ht="21.6" customHeight="1" x14ac:dyDescent="0.25">
      <c r="A34" s="50"/>
      <c r="B34" s="213" t="s">
        <v>72</v>
      </c>
      <c r="C34" s="213"/>
      <c r="D34" s="213"/>
      <c r="E34" s="23">
        <f>'DG Bel'!E40</f>
        <v>0</v>
      </c>
      <c r="F34" s="8">
        <f>'DG Tab'!E40</f>
        <v>0</v>
      </c>
      <c r="G34" s="23">
        <f>'DG Trif'!E40</f>
        <v>0</v>
      </c>
      <c r="H34" s="8">
        <f>'DG IMR'!E40</f>
        <v>0</v>
      </c>
      <c r="I34" s="8">
        <f>'DG PAL'!E40</f>
        <v>0</v>
      </c>
      <c r="J34" s="8">
        <f>'DG PNG'!E40</f>
        <v>0</v>
      </c>
      <c r="K34" s="8">
        <f>'DG RV'!$E$40</f>
        <v>0</v>
      </c>
      <c r="L34" s="8">
        <f>'DG Del'!$E$40</f>
        <v>0</v>
      </c>
      <c r="M34" s="8">
        <f>'DG Iac'!$E$40</f>
        <v>0</v>
      </c>
      <c r="N34" s="8">
        <f>'DG Rad'!$E$40</f>
        <v>0</v>
      </c>
      <c r="O34" s="8">
        <f>'DG Tar'!$E$40</f>
        <v>0</v>
      </c>
      <c r="P34" s="8">
        <f>'DG Mir'!$E$40</f>
        <v>0</v>
      </c>
      <c r="Q34" s="8">
        <f t="shared" si="29"/>
        <v>0</v>
      </c>
      <c r="R34" s="8">
        <f t="shared" si="30"/>
        <v>0</v>
      </c>
      <c r="S34" s="8">
        <f t="shared" si="31"/>
        <v>0</v>
      </c>
      <c r="T34" s="8">
        <f t="shared" si="32"/>
        <v>0</v>
      </c>
      <c r="U34" s="8">
        <f t="shared" si="33"/>
        <v>0</v>
      </c>
      <c r="V34" s="7"/>
    </row>
    <row r="35" spans="1:22" ht="26.4" customHeight="1" x14ac:dyDescent="0.25">
      <c r="A35" s="50"/>
      <c r="B35" s="213" t="s">
        <v>73</v>
      </c>
      <c r="C35" s="213"/>
      <c r="D35" s="213"/>
      <c r="E35" s="23">
        <f>'DG Bel'!E41</f>
        <v>0</v>
      </c>
      <c r="F35" s="8">
        <f>'DG Tab'!E41</f>
        <v>0</v>
      </c>
      <c r="G35" s="23">
        <f>'DG Trif'!E41</f>
        <v>0</v>
      </c>
      <c r="H35" s="8">
        <f>'DG IMR'!E41</f>
        <v>0</v>
      </c>
      <c r="I35" s="8">
        <f>'DG PAL'!E41</f>
        <v>0</v>
      </c>
      <c r="J35" s="8">
        <f>'DG PNG'!E41</f>
        <v>0</v>
      </c>
      <c r="K35" s="8">
        <f>'DG RV'!$E$41</f>
        <v>0</v>
      </c>
      <c r="L35" s="8">
        <f>'DG Del'!$E$41</f>
        <v>0</v>
      </c>
      <c r="M35" s="8">
        <f>'DG Iac'!$E$41</f>
        <v>0</v>
      </c>
      <c r="N35" s="8">
        <f>'DG Rad'!$E$41</f>
        <v>0</v>
      </c>
      <c r="O35" s="8">
        <f>'DG Tar'!$E$41</f>
        <v>0</v>
      </c>
      <c r="P35" s="8">
        <f>'DG Mir'!$E$41</f>
        <v>0</v>
      </c>
      <c r="Q35" s="8">
        <f t="shared" si="29"/>
        <v>0</v>
      </c>
      <c r="R35" s="8">
        <f t="shared" si="30"/>
        <v>0</v>
      </c>
      <c r="S35" s="8">
        <f t="shared" si="31"/>
        <v>0</v>
      </c>
      <c r="T35" s="8">
        <f t="shared" si="32"/>
        <v>0</v>
      </c>
      <c r="U35" s="8">
        <f t="shared" si="33"/>
        <v>0</v>
      </c>
      <c r="V35" s="7"/>
    </row>
    <row r="36" spans="1:22" ht="21.6" customHeight="1" x14ac:dyDescent="0.25">
      <c r="A36" s="50"/>
      <c r="B36" s="213" t="s">
        <v>74</v>
      </c>
      <c r="C36" s="213"/>
      <c r="D36" s="213"/>
      <c r="E36" s="23">
        <f>'DG Bel'!E42</f>
        <v>0</v>
      </c>
      <c r="F36" s="8">
        <f>'DG Tab'!E42</f>
        <v>0</v>
      </c>
      <c r="G36" s="23">
        <f>'DG Trif'!E42</f>
        <v>0</v>
      </c>
      <c r="H36" s="8">
        <f>'DG IMR'!E42</f>
        <v>0</v>
      </c>
      <c r="I36" s="8">
        <f>'DG PAL'!E42</f>
        <v>0</v>
      </c>
      <c r="J36" s="8">
        <f>'DG PNG'!E42</f>
        <v>0</v>
      </c>
      <c r="K36" s="8">
        <f>'DG RV'!$E$42</f>
        <v>0</v>
      </c>
      <c r="L36" s="8">
        <f>'DG Del'!$E$42</f>
        <v>0</v>
      </c>
      <c r="M36" s="8">
        <f>'DG Iac'!$E$42</f>
        <v>0</v>
      </c>
      <c r="N36" s="8">
        <f>'DG Rad'!$E$42</f>
        <v>0</v>
      </c>
      <c r="O36" s="8">
        <f>'DG Tar'!$E$42</f>
        <v>0</v>
      </c>
      <c r="P36" s="8">
        <f>'DG Mir'!$E$42</f>
        <v>0</v>
      </c>
      <c r="Q36" s="8">
        <f t="shared" si="29"/>
        <v>0</v>
      </c>
      <c r="R36" s="8">
        <f t="shared" si="30"/>
        <v>0</v>
      </c>
      <c r="S36" s="8">
        <f t="shared" si="31"/>
        <v>0</v>
      </c>
      <c r="T36" s="8">
        <f t="shared" si="32"/>
        <v>0</v>
      </c>
      <c r="U36" s="8">
        <f t="shared" si="33"/>
        <v>0</v>
      </c>
      <c r="V36" s="7"/>
    </row>
    <row r="37" spans="1:22" ht="11.1" customHeight="1" x14ac:dyDescent="0.25">
      <c r="A37" s="50"/>
      <c r="B37" s="213" t="s">
        <v>75</v>
      </c>
      <c r="C37" s="213"/>
      <c r="D37" s="213"/>
      <c r="E37" s="23">
        <f>'DG Bel'!E43</f>
        <v>0</v>
      </c>
      <c r="F37" s="8">
        <f>'DG Tab'!E43</f>
        <v>0</v>
      </c>
      <c r="G37" s="23">
        <f>'DG Trif'!E43</f>
        <v>0</v>
      </c>
      <c r="H37" s="8">
        <f>'DG IMR'!E43</f>
        <v>0</v>
      </c>
      <c r="I37" s="8">
        <f>'DG PAL'!E43</f>
        <v>0</v>
      </c>
      <c r="J37" s="8">
        <f>'DG PNG'!E43</f>
        <v>0</v>
      </c>
      <c r="K37" s="8">
        <f>'DG RV'!$E$43</f>
        <v>0</v>
      </c>
      <c r="L37" s="8">
        <f>'DG Del'!$E$43</f>
        <v>0</v>
      </c>
      <c r="M37" s="8">
        <f>'DG Iac'!$E$43</f>
        <v>0</v>
      </c>
      <c r="N37" s="8">
        <f>'DG Rad'!$E$43</f>
        <v>0</v>
      </c>
      <c r="O37" s="8">
        <f>'DG Tar'!$E$43</f>
        <v>0</v>
      </c>
      <c r="P37" s="8">
        <f>'DG Mir'!$E$43</f>
        <v>0</v>
      </c>
      <c r="Q37" s="8">
        <f t="shared" si="29"/>
        <v>0</v>
      </c>
      <c r="R37" s="8">
        <f t="shared" si="30"/>
        <v>0</v>
      </c>
      <c r="S37" s="8">
        <f t="shared" si="31"/>
        <v>0</v>
      </c>
      <c r="T37" s="8">
        <f t="shared" si="32"/>
        <v>0</v>
      </c>
      <c r="U37" s="8">
        <f t="shared" si="33"/>
        <v>0</v>
      </c>
      <c r="V37" s="7"/>
    </row>
    <row r="38" spans="1:22" ht="11.1" customHeight="1" x14ac:dyDescent="0.25">
      <c r="A38" s="50" t="s">
        <v>76</v>
      </c>
      <c r="B38" s="208" t="s">
        <v>77</v>
      </c>
      <c r="C38" s="208"/>
      <c r="D38" s="208"/>
      <c r="E38" s="23">
        <f>'DG Bel'!E44</f>
        <v>0</v>
      </c>
      <c r="F38" s="8">
        <f>'DG Tab'!E44</f>
        <v>0</v>
      </c>
      <c r="G38" s="23">
        <f>'DG Trif'!E44</f>
        <v>0</v>
      </c>
      <c r="H38" s="8">
        <f>'DG IMR'!E44</f>
        <v>0</v>
      </c>
      <c r="I38" s="8">
        <f>'DG PAL'!E44</f>
        <v>0</v>
      </c>
      <c r="J38" s="8">
        <f>'DG PNG'!E44</f>
        <v>0</v>
      </c>
      <c r="K38" s="8">
        <f>'DG RV'!$E$44</f>
        <v>0</v>
      </c>
      <c r="L38" s="8">
        <f>'DG Del'!$E$44</f>
        <v>0</v>
      </c>
      <c r="M38" s="8">
        <f>'DG Iac'!$E$44</f>
        <v>0</v>
      </c>
      <c r="N38" s="8">
        <f>'DG Rad'!$E$44</f>
        <v>0</v>
      </c>
      <c r="O38" s="8">
        <f>'DG Tar'!$E$44</f>
        <v>0</v>
      </c>
      <c r="P38" s="8">
        <f>'DG Mir'!$E$44</f>
        <v>0</v>
      </c>
      <c r="Q38" s="8">
        <f t="shared" si="29"/>
        <v>0</v>
      </c>
      <c r="R38" s="8">
        <f t="shared" si="30"/>
        <v>0</v>
      </c>
      <c r="S38" s="8">
        <v>0</v>
      </c>
      <c r="T38" s="8">
        <f t="shared" si="32"/>
        <v>0</v>
      </c>
      <c r="U38" s="8">
        <f t="shared" si="33"/>
        <v>0</v>
      </c>
      <c r="V38" s="7"/>
    </row>
    <row r="39" spans="1:22" ht="11.1" customHeight="1" x14ac:dyDescent="0.25">
      <c r="A39" s="51" t="s">
        <v>78</v>
      </c>
      <c r="B39" s="212" t="s">
        <v>79</v>
      </c>
      <c r="C39" s="212"/>
      <c r="D39" s="212"/>
      <c r="E39" s="36">
        <f t="shared" ref="E39:U39" si="34">E40+E43</f>
        <v>0</v>
      </c>
      <c r="F39" s="36">
        <f t="shared" si="34"/>
        <v>0</v>
      </c>
      <c r="G39" s="36">
        <f t="shared" si="34"/>
        <v>0</v>
      </c>
      <c r="H39" s="36">
        <f t="shared" si="34"/>
        <v>0</v>
      </c>
      <c r="I39" s="36">
        <f t="shared" si="34"/>
        <v>0</v>
      </c>
      <c r="J39" s="36">
        <f t="shared" ref="J39" si="35">J40+J43</f>
        <v>0</v>
      </c>
      <c r="K39" s="36">
        <f t="shared" ref="K39:L39" si="36">K40+K43</f>
        <v>0</v>
      </c>
      <c r="L39" s="36">
        <f t="shared" si="36"/>
        <v>0</v>
      </c>
      <c r="M39" s="36">
        <f t="shared" ref="M39:P39" si="37">M40+M43</f>
        <v>0</v>
      </c>
      <c r="N39" s="36">
        <f t="shared" si="37"/>
        <v>0</v>
      </c>
      <c r="O39" s="36">
        <f t="shared" si="37"/>
        <v>0</v>
      </c>
      <c r="P39" s="36">
        <f t="shared" si="37"/>
        <v>0</v>
      </c>
      <c r="Q39" s="36">
        <f t="shared" si="34"/>
        <v>0</v>
      </c>
      <c r="R39" s="36">
        <f t="shared" si="34"/>
        <v>0</v>
      </c>
      <c r="S39" s="36">
        <f t="shared" si="34"/>
        <v>0</v>
      </c>
      <c r="T39" s="36">
        <f t="shared" si="34"/>
        <v>0</v>
      </c>
      <c r="U39" s="36">
        <f t="shared" si="34"/>
        <v>0</v>
      </c>
      <c r="V39" s="7"/>
    </row>
    <row r="40" spans="1:22" s="32" customFormat="1" ht="10.95" customHeight="1" x14ac:dyDescent="0.25">
      <c r="A40" s="60"/>
      <c r="B40" s="264" t="s">
        <v>80</v>
      </c>
      <c r="C40" s="265"/>
      <c r="D40" s="266"/>
      <c r="E40" s="33">
        <f>E41+E42</f>
        <v>0</v>
      </c>
      <c r="F40" s="33">
        <f t="shared" ref="F40:I40" si="38">F41+F42</f>
        <v>0</v>
      </c>
      <c r="G40" s="33">
        <f t="shared" si="38"/>
        <v>0</v>
      </c>
      <c r="H40" s="33">
        <f t="shared" si="38"/>
        <v>0</v>
      </c>
      <c r="I40" s="33">
        <f t="shared" si="38"/>
        <v>0</v>
      </c>
      <c r="J40" s="33">
        <f t="shared" ref="J40" si="39">J41+J42</f>
        <v>0</v>
      </c>
      <c r="K40" s="33">
        <f t="shared" ref="K40:L40" si="40">K41+K42</f>
        <v>0</v>
      </c>
      <c r="L40" s="33">
        <f t="shared" si="40"/>
        <v>0</v>
      </c>
      <c r="M40" s="33">
        <f t="shared" ref="M40:P40" si="41">M41+M42</f>
        <v>0</v>
      </c>
      <c r="N40" s="33">
        <f t="shared" si="41"/>
        <v>0</v>
      </c>
      <c r="O40" s="33">
        <f t="shared" si="41"/>
        <v>0</v>
      </c>
      <c r="P40" s="33">
        <f t="shared" si="41"/>
        <v>0</v>
      </c>
      <c r="Q40" s="8">
        <f>SUM(E40:P40)</f>
        <v>0</v>
      </c>
      <c r="R40" s="8">
        <f>ROUND(Q40/$R$6,2)</f>
        <v>0</v>
      </c>
      <c r="S40" s="8">
        <f>S41+S42</f>
        <v>0</v>
      </c>
      <c r="T40" s="8">
        <f>Q40+S40</f>
        <v>0</v>
      </c>
      <c r="U40" s="8">
        <f>ROUND(S40/$R$6,2)+R40</f>
        <v>0</v>
      </c>
      <c r="V40" s="61"/>
    </row>
    <row r="41" spans="1:22" s="32" customFormat="1" ht="10.95" customHeight="1" x14ac:dyDescent="0.25">
      <c r="A41" s="60"/>
      <c r="B41" s="107"/>
      <c r="C41" s="213" t="s">
        <v>81</v>
      </c>
      <c r="D41" s="214"/>
      <c r="E41" s="23">
        <f>'DG Bel'!E47</f>
        <v>0</v>
      </c>
      <c r="F41" s="8">
        <f>'DG Tab'!E47</f>
        <v>0</v>
      </c>
      <c r="G41" s="23">
        <f>'DG Trif'!E47</f>
        <v>0</v>
      </c>
      <c r="H41" s="8">
        <f>'DG IMR'!E47</f>
        <v>0</v>
      </c>
      <c r="I41" s="8">
        <f>'DG PAL'!E47</f>
        <v>0</v>
      </c>
      <c r="J41" s="8">
        <f>'DG PNG'!E47</f>
        <v>0</v>
      </c>
      <c r="K41" s="8">
        <f>'DG RV'!$E$47</f>
        <v>0</v>
      </c>
      <c r="L41" s="8">
        <f>'DG Del'!$E$47</f>
        <v>0</v>
      </c>
      <c r="M41" s="8">
        <f>'DG Iac'!$E$47</f>
        <v>0</v>
      </c>
      <c r="N41" s="8">
        <f>'DG Rad'!$E$47</f>
        <v>0</v>
      </c>
      <c r="O41" s="8">
        <f>'DG Tar'!$E$47</f>
        <v>0</v>
      </c>
      <c r="P41" s="8">
        <f>'DG Mir'!$E$47</f>
        <v>0</v>
      </c>
      <c r="Q41" s="8">
        <f>SUM(E41:P41)</f>
        <v>0</v>
      </c>
      <c r="R41" s="8">
        <f t="shared" ref="R41:R42" si="42">ROUND(Q41/$R$6,2)</f>
        <v>0</v>
      </c>
      <c r="S41" s="8">
        <v>0</v>
      </c>
      <c r="T41" s="8">
        <f t="shared" ref="T41:T42" si="43">Q41+S41</f>
        <v>0</v>
      </c>
      <c r="U41" s="8">
        <f t="shared" ref="U41:U42" si="44">ROUND(S41/$R$6,2)+R41</f>
        <v>0</v>
      </c>
      <c r="V41" s="61"/>
    </row>
    <row r="42" spans="1:22" s="32" customFormat="1" ht="10.95" customHeight="1" x14ac:dyDescent="0.25">
      <c r="A42" s="60"/>
      <c r="B42" s="134"/>
      <c r="C42" s="213" t="s">
        <v>82</v>
      </c>
      <c r="D42" s="214"/>
      <c r="E42" s="23">
        <f>'DG Bel'!E48</f>
        <v>0</v>
      </c>
      <c r="F42" s="8">
        <f>'DG Tab'!E48</f>
        <v>0</v>
      </c>
      <c r="G42" s="23">
        <f>'DG Trif'!E48</f>
        <v>0</v>
      </c>
      <c r="H42" s="8">
        <f>'DG IMR'!E48</f>
        <v>0</v>
      </c>
      <c r="I42" s="8">
        <f>'DG PAL'!E48</f>
        <v>0</v>
      </c>
      <c r="J42" s="8">
        <f>'DG PNG'!E48</f>
        <v>0</v>
      </c>
      <c r="K42" s="8">
        <f>'DG RV'!$E$48</f>
        <v>0</v>
      </c>
      <c r="L42" s="8">
        <f>'DG Del'!$E$48</f>
        <v>0</v>
      </c>
      <c r="M42" s="8">
        <f>'DG Iac'!$E$48</f>
        <v>0</v>
      </c>
      <c r="N42" s="8">
        <f>'DG Rad'!$E$48</f>
        <v>0</v>
      </c>
      <c r="O42" s="8">
        <f>'DG Tar'!$E$48</f>
        <v>0</v>
      </c>
      <c r="P42" s="8">
        <f>'DG Mir'!$E$48</f>
        <v>0</v>
      </c>
      <c r="Q42" s="8">
        <f>SUM(E42:P42)</f>
        <v>0</v>
      </c>
      <c r="R42" s="8">
        <f t="shared" si="42"/>
        <v>0</v>
      </c>
      <c r="S42" s="8">
        <f t="shared" ref="S42" si="45">ROUND(Q42*$W$3,2)</f>
        <v>0</v>
      </c>
      <c r="T42" s="8">
        <f t="shared" si="43"/>
        <v>0</v>
      </c>
      <c r="U42" s="8">
        <f t="shared" si="44"/>
        <v>0</v>
      </c>
      <c r="V42" s="61"/>
    </row>
    <row r="43" spans="1:22" ht="11.1" customHeight="1" x14ac:dyDescent="0.25">
      <c r="A43" s="50"/>
      <c r="B43" s="213" t="s">
        <v>83</v>
      </c>
      <c r="C43" s="214"/>
      <c r="D43" s="214"/>
      <c r="E43" s="23">
        <f>'DG Bel'!E49</f>
        <v>0</v>
      </c>
      <c r="F43" s="8">
        <f>'DG Tab'!E49</f>
        <v>0</v>
      </c>
      <c r="G43" s="23">
        <f>'DG Trif'!E49</f>
        <v>0</v>
      </c>
      <c r="H43" s="8">
        <f>'DG IMR'!E49</f>
        <v>0</v>
      </c>
      <c r="I43" s="8">
        <f>'DG PAL'!E49</f>
        <v>0</v>
      </c>
      <c r="J43" s="8">
        <f>'DG PNG'!E49</f>
        <v>0</v>
      </c>
      <c r="K43" s="8">
        <f>'DG RV'!$E$49</f>
        <v>0</v>
      </c>
      <c r="L43" s="8">
        <f>'DG Del'!$E$49</f>
        <v>0</v>
      </c>
      <c r="M43" s="8">
        <f>'DG Iac'!$E$49</f>
        <v>0</v>
      </c>
      <c r="N43" s="8">
        <f>'DG Rad'!$E$49</f>
        <v>0</v>
      </c>
      <c r="O43" s="8">
        <f>'DG Tar'!$E$49</f>
        <v>0</v>
      </c>
      <c r="P43" s="8">
        <f>'DG Mir'!$E$49</f>
        <v>0</v>
      </c>
      <c r="Q43" s="8">
        <f>SUM(E43:P43)</f>
        <v>0</v>
      </c>
      <c r="R43" s="8">
        <f>ROUND(Q43/$R$6,2)</f>
        <v>0</v>
      </c>
      <c r="S43" s="8">
        <f>ROUND(Q43*$W$3,2)</f>
        <v>0</v>
      </c>
      <c r="T43" s="8">
        <f>Q43+S43</f>
        <v>0</v>
      </c>
      <c r="U43" s="8">
        <f t="shared" ref="U43" si="46">ROUND(S43/$R$6,2)+R43</f>
        <v>0</v>
      </c>
      <c r="V43" s="7"/>
    </row>
    <row r="44" spans="1:22" ht="11.1" customHeight="1" x14ac:dyDescent="0.25">
      <c r="A44" s="51" t="s">
        <v>84</v>
      </c>
      <c r="B44" s="212" t="s">
        <v>85</v>
      </c>
      <c r="C44" s="212"/>
      <c r="D44" s="212"/>
      <c r="E44" s="36">
        <f t="shared" ref="E44" si="47">E45+E48</f>
        <v>0</v>
      </c>
      <c r="F44" s="36">
        <f t="shared" ref="F44:Q44" si="48">F45+F48</f>
        <v>0</v>
      </c>
      <c r="G44" s="36">
        <f t="shared" si="48"/>
        <v>0</v>
      </c>
      <c r="H44" s="36">
        <f t="shared" si="48"/>
        <v>0</v>
      </c>
      <c r="I44" s="36">
        <f t="shared" si="48"/>
        <v>0</v>
      </c>
      <c r="J44" s="36">
        <f t="shared" ref="J44" si="49">J45+J48</f>
        <v>0</v>
      </c>
      <c r="K44" s="36">
        <f t="shared" ref="K44:L44" si="50">K45+K48</f>
        <v>0</v>
      </c>
      <c r="L44" s="36">
        <f t="shared" si="50"/>
        <v>0</v>
      </c>
      <c r="M44" s="36">
        <f t="shared" ref="M44:P44" si="51">M45+M48</f>
        <v>0</v>
      </c>
      <c r="N44" s="36">
        <f t="shared" si="51"/>
        <v>0</v>
      </c>
      <c r="O44" s="36">
        <f t="shared" si="51"/>
        <v>0</v>
      </c>
      <c r="P44" s="36">
        <f t="shared" si="51"/>
        <v>0</v>
      </c>
      <c r="Q44" s="36">
        <f t="shared" si="48"/>
        <v>0</v>
      </c>
      <c r="R44" s="36">
        <f t="shared" ref="R44:U44" si="52">R45+R48</f>
        <v>0</v>
      </c>
      <c r="S44" s="36">
        <f t="shared" si="52"/>
        <v>0</v>
      </c>
      <c r="T44" s="36">
        <f t="shared" si="52"/>
        <v>0</v>
      </c>
      <c r="U44" s="36">
        <f t="shared" si="52"/>
        <v>0</v>
      </c>
      <c r="V44" s="7"/>
    </row>
    <row r="45" spans="1:22" ht="11.1" customHeight="1" x14ac:dyDescent="0.25">
      <c r="A45" s="51"/>
      <c r="B45" s="211" t="s">
        <v>86</v>
      </c>
      <c r="C45" s="212"/>
      <c r="D45" s="212"/>
      <c r="E45" s="36">
        <f t="shared" ref="E45" si="53">E47+E46</f>
        <v>0</v>
      </c>
      <c r="F45" s="36">
        <f t="shared" ref="F45:Q45" si="54">F47+F46</f>
        <v>0</v>
      </c>
      <c r="G45" s="36">
        <f t="shared" si="54"/>
        <v>0</v>
      </c>
      <c r="H45" s="36">
        <f t="shared" si="54"/>
        <v>0</v>
      </c>
      <c r="I45" s="36">
        <f t="shared" si="54"/>
        <v>0</v>
      </c>
      <c r="J45" s="36">
        <f t="shared" ref="J45" si="55">J47+J46</f>
        <v>0</v>
      </c>
      <c r="K45" s="36">
        <f t="shared" ref="K45:L45" si="56">K47+K46</f>
        <v>0</v>
      </c>
      <c r="L45" s="36">
        <f t="shared" si="56"/>
        <v>0</v>
      </c>
      <c r="M45" s="36">
        <f t="shared" ref="M45:P45" si="57">M47+M46</f>
        <v>0</v>
      </c>
      <c r="N45" s="36">
        <f t="shared" si="57"/>
        <v>0</v>
      </c>
      <c r="O45" s="36">
        <f t="shared" si="57"/>
        <v>0</v>
      </c>
      <c r="P45" s="36">
        <f t="shared" si="57"/>
        <v>0</v>
      </c>
      <c r="Q45" s="36">
        <f t="shared" si="54"/>
        <v>0</v>
      </c>
      <c r="R45" s="36">
        <f t="shared" ref="R45:U45" si="58">R47+R46</f>
        <v>0</v>
      </c>
      <c r="S45" s="36">
        <f t="shared" si="58"/>
        <v>0</v>
      </c>
      <c r="T45" s="36">
        <f t="shared" si="58"/>
        <v>0</v>
      </c>
      <c r="U45" s="36">
        <f t="shared" si="58"/>
        <v>0</v>
      </c>
      <c r="V45" s="7"/>
    </row>
    <row r="46" spans="1:22" ht="11.1" customHeight="1" x14ac:dyDescent="0.25">
      <c r="A46" s="50"/>
      <c r="B46" s="207" t="s">
        <v>87</v>
      </c>
      <c r="C46" s="208"/>
      <c r="D46" s="208"/>
      <c r="E46" s="23">
        <f>'DG Bel'!E52</f>
        <v>0</v>
      </c>
      <c r="F46" s="8">
        <f>'DG Tab'!E52</f>
        <v>0</v>
      </c>
      <c r="G46" s="23">
        <f>'DG Trif'!E52</f>
        <v>0</v>
      </c>
      <c r="H46" s="8">
        <f>'DG IMR'!E52</f>
        <v>0</v>
      </c>
      <c r="I46" s="8">
        <f>'DG PAL'!E52</f>
        <v>0</v>
      </c>
      <c r="J46" s="8">
        <f>'DG PNG'!E52</f>
        <v>0</v>
      </c>
      <c r="K46" s="8">
        <f>'DG RV'!$E$52</f>
        <v>0</v>
      </c>
      <c r="L46" s="8">
        <f>'DG Del'!$E$52</f>
        <v>0</v>
      </c>
      <c r="M46" s="8">
        <f>'DG Iac'!$E$52</f>
        <v>0</v>
      </c>
      <c r="N46" s="8">
        <f>'DG Rad'!$E$52</f>
        <v>0</v>
      </c>
      <c r="O46" s="8">
        <f>'DG Tar'!$E$52</f>
        <v>0</v>
      </c>
      <c r="P46" s="8">
        <f>'DG Mir'!$E$52</f>
        <v>0</v>
      </c>
      <c r="Q46" s="8">
        <f>SUM(E46:P46)</f>
        <v>0</v>
      </c>
      <c r="R46" s="8">
        <f>ROUND(Q46/$R$6,2)</f>
        <v>0</v>
      </c>
      <c r="S46" s="8">
        <f>ROUND(Q46*$W$3,2)</f>
        <v>0</v>
      </c>
      <c r="T46" s="8">
        <f>Q46+S46</f>
        <v>0</v>
      </c>
      <c r="U46" s="8">
        <f t="shared" ref="U46:U48" si="59">ROUND(S46/$R$6,2)+R46</f>
        <v>0</v>
      </c>
      <c r="V46" s="7"/>
    </row>
    <row r="47" spans="1:22" ht="22.5" customHeight="1" x14ac:dyDescent="0.25">
      <c r="A47" s="50"/>
      <c r="B47" s="207" t="s">
        <v>88</v>
      </c>
      <c r="C47" s="208"/>
      <c r="D47" s="208"/>
      <c r="E47" s="23">
        <f>'DG Bel'!E53</f>
        <v>0</v>
      </c>
      <c r="F47" s="8">
        <f>'DG Tab'!E53</f>
        <v>0</v>
      </c>
      <c r="G47" s="23">
        <f>'DG Trif'!E53</f>
        <v>0</v>
      </c>
      <c r="H47" s="8">
        <f>'DG IMR'!E53</f>
        <v>0</v>
      </c>
      <c r="I47" s="8">
        <f>'DG PAL'!E53</f>
        <v>0</v>
      </c>
      <c r="J47" s="8">
        <f>'DG PNG'!E53</f>
        <v>0</v>
      </c>
      <c r="K47" s="8">
        <f>'DG RV'!$E$53</f>
        <v>0</v>
      </c>
      <c r="L47" s="8">
        <f>'DG Del'!$E$53</f>
        <v>0</v>
      </c>
      <c r="M47" s="8">
        <f>'DG Iac'!$E$53</f>
        <v>0</v>
      </c>
      <c r="N47" s="8">
        <f>'DG Rad'!$E$53</f>
        <v>0</v>
      </c>
      <c r="O47" s="8">
        <f>'DG Tar'!$E$53</f>
        <v>0</v>
      </c>
      <c r="P47" s="8">
        <f>'DG Mir'!$E$53</f>
        <v>0</v>
      </c>
      <c r="Q47" s="8">
        <f>SUM(E47:P47)</f>
        <v>0</v>
      </c>
      <c r="R47" s="8">
        <f>ROUND(Q47/$R$6,2)</f>
        <v>0</v>
      </c>
      <c r="S47" s="8">
        <f>ROUND(Q47*$W$3,2)</f>
        <v>0</v>
      </c>
      <c r="T47" s="8">
        <f>Q47+S47</f>
        <v>0</v>
      </c>
      <c r="U47" s="8">
        <f t="shared" si="59"/>
        <v>0</v>
      </c>
      <c r="V47" s="7"/>
    </row>
    <row r="48" spans="1:22" ht="11.1" customHeight="1" x14ac:dyDescent="0.25">
      <c r="A48" s="50"/>
      <c r="B48" s="207" t="s">
        <v>89</v>
      </c>
      <c r="C48" s="208"/>
      <c r="D48" s="208"/>
      <c r="E48" s="23">
        <f>'DG Bel'!E54</f>
        <v>0</v>
      </c>
      <c r="F48" s="8">
        <f>'DG Tab'!E54</f>
        <v>0</v>
      </c>
      <c r="G48" s="23">
        <f>'DG Trif'!E54</f>
        <v>0</v>
      </c>
      <c r="H48" s="8">
        <f>'DG IMR'!E54</f>
        <v>0</v>
      </c>
      <c r="I48" s="8">
        <f>'DG PAL'!E54</f>
        <v>0</v>
      </c>
      <c r="J48" s="8">
        <f>'DG PNG'!E54</f>
        <v>0</v>
      </c>
      <c r="K48" s="8">
        <f>'DG RV'!$E$54</f>
        <v>0</v>
      </c>
      <c r="L48" s="8">
        <f>'DG Del'!$E$54</f>
        <v>0</v>
      </c>
      <c r="M48" s="8">
        <f>'DG Iac'!$E$54</f>
        <v>0</v>
      </c>
      <c r="N48" s="8">
        <f>'DG Rad'!$E$54</f>
        <v>0</v>
      </c>
      <c r="O48" s="8">
        <f>'DG Tar'!$E$54</f>
        <v>0</v>
      </c>
      <c r="P48" s="8">
        <f>'DG Mir'!$E$54</f>
        <v>0</v>
      </c>
      <c r="Q48" s="8">
        <f>SUM(E48:P48)</f>
        <v>0</v>
      </c>
      <c r="R48" s="8">
        <f>ROUND(Q48/$R$6,2)</f>
        <v>0</v>
      </c>
      <c r="S48" s="8">
        <v>0</v>
      </c>
      <c r="T48" s="8">
        <f>Q48+S48</f>
        <v>0</v>
      </c>
      <c r="U48" s="8">
        <f t="shared" si="59"/>
        <v>0</v>
      </c>
      <c r="V48" s="7"/>
    </row>
    <row r="49" spans="1:24" ht="11.1" customHeight="1" x14ac:dyDescent="0.25">
      <c r="A49" s="52"/>
      <c r="B49" s="25"/>
      <c r="C49" s="215" t="s">
        <v>90</v>
      </c>
      <c r="D49" s="216"/>
      <c r="E49" s="37">
        <f t="shared" ref="E49:U49" si="60">E44+E39+E38+E31+E30+E29+E28+E24</f>
        <v>0</v>
      </c>
      <c r="F49" s="37">
        <f t="shared" si="60"/>
        <v>0</v>
      </c>
      <c r="G49" s="37">
        <f t="shared" si="60"/>
        <v>0</v>
      </c>
      <c r="H49" s="37">
        <f t="shared" si="60"/>
        <v>0</v>
      </c>
      <c r="I49" s="37">
        <f t="shared" si="60"/>
        <v>0</v>
      </c>
      <c r="J49" s="37">
        <f t="shared" ref="J49" si="61">J44+J39+J38+J31+J30+J29+J28+J24</f>
        <v>0</v>
      </c>
      <c r="K49" s="37">
        <f t="shared" ref="K49:L49" si="62">K44+K39+K38+K31+K30+K29+K28+K24</f>
        <v>0</v>
      </c>
      <c r="L49" s="37">
        <f t="shared" si="62"/>
        <v>0</v>
      </c>
      <c r="M49" s="37">
        <f t="shared" ref="M49:P49" si="63">M44+M39+M38+M31+M30+M29+M28+M24</f>
        <v>0</v>
      </c>
      <c r="N49" s="37">
        <f t="shared" si="63"/>
        <v>0</v>
      </c>
      <c r="O49" s="37">
        <f t="shared" si="63"/>
        <v>0</v>
      </c>
      <c r="P49" s="37">
        <f t="shared" si="63"/>
        <v>0</v>
      </c>
      <c r="Q49" s="37">
        <f t="shared" si="60"/>
        <v>0</v>
      </c>
      <c r="R49" s="37">
        <f t="shared" si="60"/>
        <v>0</v>
      </c>
      <c r="S49" s="37">
        <f t="shared" si="60"/>
        <v>0</v>
      </c>
      <c r="T49" s="37">
        <f t="shared" si="60"/>
        <v>0</v>
      </c>
      <c r="U49" s="37">
        <f t="shared" si="60"/>
        <v>0</v>
      </c>
      <c r="V49" s="7"/>
      <c r="W49" s="135"/>
      <c r="X49" s="54"/>
    </row>
    <row r="50" spans="1:24" ht="11.1" customHeight="1" x14ac:dyDescent="0.25">
      <c r="A50" s="40"/>
      <c r="B50" s="18" t="s">
        <v>91</v>
      </c>
      <c r="C50" s="15"/>
      <c r="D50" s="15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33"/>
      <c r="S50" s="21"/>
      <c r="T50" s="21"/>
      <c r="U50" s="21"/>
    </row>
    <row r="51" spans="1:24" ht="12" customHeight="1" x14ac:dyDescent="0.25">
      <c r="A51" s="46" t="s">
        <v>92</v>
      </c>
      <c r="B51" s="28"/>
      <c r="C51" s="219" t="s">
        <v>93</v>
      </c>
      <c r="D51" s="220"/>
      <c r="E51" s="8">
        <f t="shared" ref="E51:U51" si="64">SUM(E52:E56)</f>
        <v>0</v>
      </c>
      <c r="F51" s="8">
        <f t="shared" si="64"/>
        <v>0</v>
      </c>
      <c r="G51" s="8">
        <f t="shared" si="64"/>
        <v>0</v>
      </c>
      <c r="H51" s="8">
        <f t="shared" si="64"/>
        <v>0</v>
      </c>
      <c r="I51" s="8">
        <f t="shared" si="64"/>
        <v>0</v>
      </c>
      <c r="J51" s="8">
        <f t="shared" ref="J51" si="65">SUM(J52:J56)</f>
        <v>0</v>
      </c>
      <c r="K51" s="8">
        <f t="shared" ref="K51:L51" si="66">SUM(K52:K56)</f>
        <v>0</v>
      </c>
      <c r="L51" s="8">
        <f t="shared" si="66"/>
        <v>0</v>
      </c>
      <c r="M51" s="8">
        <f t="shared" ref="M51:P51" si="67">SUM(M52:M56)</f>
        <v>0</v>
      </c>
      <c r="N51" s="8">
        <f t="shared" si="67"/>
        <v>0</v>
      </c>
      <c r="O51" s="8">
        <f t="shared" si="67"/>
        <v>0</v>
      </c>
      <c r="P51" s="8">
        <f t="shared" si="67"/>
        <v>0</v>
      </c>
      <c r="Q51" s="36">
        <f>SUM(Q52:Q56)</f>
        <v>0</v>
      </c>
      <c r="R51" s="36">
        <f t="shared" si="64"/>
        <v>0</v>
      </c>
      <c r="S51" s="36">
        <f t="shared" si="64"/>
        <v>0</v>
      </c>
      <c r="T51" s="36">
        <f t="shared" si="64"/>
        <v>0</v>
      </c>
      <c r="U51" s="36">
        <f t="shared" si="64"/>
        <v>0</v>
      </c>
    </row>
    <row r="52" spans="1:24" x14ac:dyDescent="0.25">
      <c r="A52" s="40"/>
      <c r="B52" s="107"/>
      <c r="C52" s="38"/>
      <c r="D52" s="38" t="s">
        <v>682</v>
      </c>
      <c r="E52" s="8">
        <f>'DG Bel'!E58</f>
        <v>0</v>
      </c>
      <c r="F52" s="8">
        <f>'DG Tab'!E58</f>
        <v>0</v>
      </c>
      <c r="G52" s="23">
        <f>'DG Trif'!E58</f>
        <v>0</v>
      </c>
      <c r="H52" s="8">
        <f>'DG IMR'!E58</f>
        <v>0</v>
      </c>
      <c r="I52" s="8">
        <f>'DG PAL'!E58</f>
        <v>0</v>
      </c>
      <c r="J52" s="8">
        <f>'DG PNG'!E58</f>
        <v>0</v>
      </c>
      <c r="K52" s="8">
        <f>'DG RV'!$E$58</f>
        <v>0</v>
      </c>
      <c r="L52" s="8">
        <f>'DG Del'!$E$58</f>
        <v>0</v>
      </c>
      <c r="M52" s="8">
        <f>'DG Iac'!$E$58</f>
        <v>0</v>
      </c>
      <c r="N52" s="8">
        <f>'DG Rad'!$E$58</f>
        <v>0</v>
      </c>
      <c r="O52" s="8">
        <f>'DG Tar'!$E$58</f>
        <v>0</v>
      </c>
      <c r="P52" s="8">
        <f>'DG Mir'!$E$58</f>
        <v>0</v>
      </c>
      <c r="Q52" s="8">
        <f>SUM(E52:P52)</f>
        <v>0</v>
      </c>
      <c r="R52" s="8">
        <f>ROUND(Q52/$R$6,2)</f>
        <v>0</v>
      </c>
      <c r="S52" s="8">
        <f>ROUND(Q52*$W$3,2)</f>
        <v>0</v>
      </c>
      <c r="T52" s="8">
        <f>Q52+S52</f>
        <v>0</v>
      </c>
      <c r="U52" s="8">
        <f t="shared" ref="U52:U56" si="68">ROUND(S52/$R$6,2)+R52</f>
        <v>0</v>
      </c>
    </row>
    <row r="53" spans="1:24" x14ac:dyDescent="0.25">
      <c r="A53" s="40"/>
      <c r="B53" s="107"/>
      <c r="C53" s="126"/>
      <c r="D53" s="126" t="s">
        <v>683</v>
      </c>
      <c r="E53" s="8">
        <f>'DG Bel'!E59</f>
        <v>0</v>
      </c>
      <c r="F53" s="8">
        <f>'DG Tab'!E59</f>
        <v>0</v>
      </c>
      <c r="G53" s="23">
        <f>'DG Trif'!E59</f>
        <v>0</v>
      </c>
      <c r="H53" s="8">
        <f>'DG IMR'!E59</f>
        <v>0</v>
      </c>
      <c r="I53" s="8">
        <f>'DG PAL'!E59</f>
        <v>0</v>
      </c>
      <c r="J53" s="8">
        <f>'DG PNG'!E59</f>
        <v>0</v>
      </c>
      <c r="K53" s="8">
        <f>'DG RV'!$E$59</f>
        <v>0</v>
      </c>
      <c r="L53" s="8">
        <f>'DG Del'!$E$59</f>
        <v>0</v>
      </c>
      <c r="M53" s="8">
        <f>'DG Iac'!$E$59</f>
        <v>0</v>
      </c>
      <c r="N53" s="8">
        <f>'DG Rad'!$E$59</f>
        <v>0</v>
      </c>
      <c r="O53" s="8">
        <f>'DG Tar'!$E$59</f>
        <v>0</v>
      </c>
      <c r="P53" s="8">
        <f>'DG Mir'!$E$59</f>
        <v>0</v>
      </c>
      <c r="Q53" s="8">
        <f>SUM(E53:P53)</f>
        <v>0</v>
      </c>
      <c r="R53" s="8">
        <f t="shared" ref="R53:R56" si="69">ROUND(Q53/$R$6,2)</f>
        <v>0</v>
      </c>
      <c r="S53" s="8">
        <f t="shared" ref="S53:S56" si="70">ROUND(Q53*$W$3,2)</f>
        <v>0</v>
      </c>
      <c r="T53" s="8">
        <f t="shared" ref="T53:T56" si="71">Q53+S53</f>
        <v>0</v>
      </c>
      <c r="U53" s="8">
        <f t="shared" si="68"/>
        <v>0</v>
      </c>
    </row>
    <row r="54" spans="1:24" x14ac:dyDescent="0.25">
      <c r="A54" s="40"/>
      <c r="B54" s="107"/>
      <c r="C54" s="126"/>
      <c r="D54" s="126" t="s">
        <v>684</v>
      </c>
      <c r="E54" s="8">
        <f>'DG Bel'!E60</f>
        <v>0</v>
      </c>
      <c r="F54" s="8">
        <f>'DG Tab'!E60</f>
        <v>0</v>
      </c>
      <c r="G54" s="23">
        <f>'DG Trif'!E60</f>
        <v>0</v>
      </c>
      <c r="H54" s="8">
        <f>'DG IMR'!E60</f>
        <v>0</v>
      </c>
      <c r="I54" s="8">
        <f>'DG PAL'!E60</f>
        <v>0</v>
      </c>
      <c r="J54" s="8">
        <f>'DG PNG'!E60</f>
        <v>0</v>
      </c>
      <c r="K54" s="8">
        <f>'DG RV'!$E$60</f>
        <v>0</v>
      </c>
      <c r="L54" s="8">
        <f>'DG Del'!$E$60</f>
        <v>0</v>
      </c>
      <c r="M54" s="8">
        <f>'DG Iac'!$E$60</f>
        <v>0</v>
      </c>
      <c r="N54" s="8">
        <f>'DG Rad'!$E$60</f>
        <v>0</v>
      </c>
      <c r="O54" s="8">
        <f>'DG Tar'!$E$60</f>
        <v>0</v>
      </c>
      <c r="P54" s="8">
        <f>'DG Mir'!$E$60</f>
        <v>0</v>
      </c>
      <c r="Q54" s="8">
        <f>SUM(E54:P54)</f>
        <v>0</v>
      </c>
      <c r="R54" s="8">
        <f t="shared" si="69"/>
        <v>0</v>
      </c>
      <c r="S54" s="8">
        <f t="shared" si="70"/>
        <v>0</v>
      </c>
      <c r="T54" s="8">
        <f t="shared" si="71"/>
        <v>0</v>
      </c>
      <c r="U54" s="8">
        <f t="shared" si="68"/>
        <v>0</v>
      </c>
    </row>
    <row r="55" spans="1:24" x14ac:dyDescent="0.25">
      <c r="A55" s="40"/>
      <c r="B55" s="107"/>
      <c r="C55" s="126"/>
      <c r="D55" s="126" t="s">
        <v>685</v>
      </c>
      <c r="E55" s="8">
        <f>'DG Bel'!E61</f>
        <v>0</v>
      </c>
      <c r="F55" s="8">
        <f>'DG Tab'!E61</f>
        <v>0</v>
      </c>
      <c r="G55" s="23">
        <f>'DG Trif'!E61</f>
        <v>0</v>
      </c>
      <c r="H55" s="8">
        <f>'DG IMR'!E61</f>
        <v>0</v>
      </c>
      <c r="I55" s="8">
        <f>'DG PAL'!E61</f>
        <v>0</v>
      </c>
      <c r="J55" s="8">
        <f>'DG PNG'!E61</f>
        <v>0</v>
      </c>
      <c r="K55" s="8">
        <f>'DG RV'!$E$61</f>
        <v>0</v>
      </c>
      <c r="L55" s="8">
        <f>'DG Del'!$E$61</f>
        <v>0</v>
      </c>
      <c r="M55" s="8">
        <f>'DG Iac'!$E$61</f>
        <v>0</v>
      </c>
      <c r="N55" s="8">
        <f>'DG Rad'!$E$61</f>
        <v>0</v>
      </c>
      <c r="O55" s="8">
        <f>'DG Tar'!$E$61</f>
        <v>0</v>
      </c>
      <c r="P55" s="8">
        <f>'DG Mir'!$E$61</f>
        <v>0</v>
      </c>
      <c r="Q55" s="8">
        <f>SUM(E55:P55)</f>
        <v>0</v>
      </c>
      <c r="R55" s="8">
        <f t="shared" si="69"/>
        <v>0</v>
      </c>
      <c r="S55" s="8">
        <f t="shared" si="70"/>
        <v>0</v>
      </c>
      <c r="T55" s="8">
        <f t="shared" si="71"/>
        <v>0</v>
      </c>
      <c r="U55" s="8">
        <f t="shared" si="68"/>
        <v>0</v>
      </c>
    </row>
    <row r="56" spans="1:24" x14ac:dyDescent="0.25">
      <c r="A56" s="40"/>
      <c r="B56" s="107"/>
      <c r="C56" s="126"/>
      <c r="D56" s="126" t="s">
        <v>158</v>
      </c>
      <c r="E56" s="8">
        <f>'DG Bel'!E62</f>
        <v>0</v>
      </c>
      <c r="F56" s="8">
        <f>'DG Tab'!E62</f>
        <v>0</v>
      </c>
      <c r="G56" s="23">
        <f>'DG Trif'!E62</f>
        <v>0</v>
      </c>
      <c r="H56" s="8">
        <f>'DG IMR'!E62</f>
        <v>0</v>
      </c>
      <c r="I56" s="8">
        <f>'DG PAL'!E62</f>
        <v>0</v>
      </c>
      <c r="J56" s="8">
        <f>'DG PNG'!E62</f>
        <v>0</v>
      </c>
      <c r="K56" s="8">
        <f>'DG RV'!$E$62</f>
        <v>0</v>
      </c>
      <c r="L56" s="8">
        <f>'DG Del'!$E$62</f>
        <v>0</v>
      </c>
      <c r="M56" s="8">
        <f>'DG Iac'!$E$62</f>
        <v>0</v>
      </c>
      <c r="N56" s="8">
        <f>'DG Rad'!$E$62</f>
        <v>0</v>
      </c>
      <c r="O56" s="8">
        <f>'DG Tar'!$E$62</f>
        <v>0</v>
      </c>
      <c r="P56" s="8">
        <f>'DG Mir'!$E$62</f>
        <v>0</v>
      </c>
      <c r="Q56" s="8">
        <f>SUM(E56:P56)</f>
        <v>0</v>
      </c>
      <c r="R56" s="8">
        <f t="shared" si="69"/>
        <v>0</v>
      </c>
      <c r="S56" s="8">
        <f t="shared" si="70"/>
        <v>0</v>
      </c>
      <c r="T56" s="8">
        <f t="shared" si="71"/>
        <v>0</v>
      </c>
      <c r="U56" s="8">
        <f t="shared" si="68"/>
        <v>0</v>
      </c>
    </row>
    <row r="57" spans="1:24" x14ac:dyDescent="0.25">
      <c r="A57" s="46" t="s">
        <v>101</v>
      </c>
      <c r="B57" s="28"/>
      <c r="C57" s="267" t="s">
        <v>102</v>
      </c>
      <c r="D57" s="267"/>
      <c r="E57" s="36">
        <f t="shared" ref="E57:U57" si="72">SUM(E58:E61)</f>
        <v>0</v>
      </c>
      <c r="F57" s="36">
        <f t="shared" si="72"/>
        <v>0</v>
      </c>
      <c r="G57" s="36">
        <f t="shared" si="72"/>
        <v>0</v>
      </c>
      <c r="H57" s="36">
        <f t="shared" si="72"/>
        <v>0</v>
      </c>
      <c r="I57" s="36">
        <f t="shared" si="72"/>
        <v>0</v>
      </c>
      <c r="J57" s="36">
        <f t="shared" ref="J57" si="73">SUM(J58:J61)</f>
        <v>0</v>
      </c>
      <c r="K57" s="36">
        <f t="shared" ref="K57:L57" si="74">SUM(K58:K61)</f>
        <v>0</v>
      </c>
      <c r="L57" s="36">
        <f t="shared" si="74"/>
        <v>0</v>
      </c>
      <c r="M57" s="36">
        <f t="shared" ref="M57:P57" si="75">SUM(M58:M61)</f>
        <v>0</v>
      </c>
      <c r="N57" s="36">
        <f t="shared" si="75"/>
        <v>0</v>
      </c>
      <c r="O57" s="36">
        <f t="shared" si="75"/>
        <v>0</v>
      </c>
      <c r="P57" s="36">
        <f t="shared" si="75"/>
        <v>0</v>
      </c>
      <c r="Q57" s="36">
        <f t="shared" si="72"/>
        <v>0</v>
      </c>
      <c r="R57" s="36">
        <f t="shared" si="72"/>
        <v>0</v>
      </c>
      <c r="S57" s="36">
        <f t="shared" si="72"/>
        <v>0</v>
      </c>
      <c r="T57" s="36">
        <f t="shared" si="72"/>
        <v>0</v>
      </c>
      <c r="U57" s="36">
        <f t="shared" si="72"/>
        <v>0</v>
      </c>
    </row>
    <row r="58" spans="1:24" x14ac:dyDescent="0.25">
      <c r="A58" s="40"/>
      <c r="B58" s="107"/>
      <c r="C58" s="38"/>
      <c r="D58" s="38" t="s">
        <v>682</v>
      </c>
      <c r="E58" s="8">
        <f>'DG Bel'!E64</f>
        <v>0</v>
      </c>
      <c r="F58" s="8">
        <f>'DG Tab'!E64</f>
        <v>0</v>
      </c>
      <c r="G58" s="23">
        <f>'DG Trif'!E64</f>
        <v>0</v>
      </c>
      <c r="H58" s="8">
        <f>'DG IMR'!E64</f>
        <v>0</v>
      </c>
      <c r="I58" s="8">
        <f>'DG PAL'!E64</f>
        <v>0</v>
      </c>
      <c r="J58" s="8">
        <f>'DG PNG'!E64</f>
        <v>0</v>
      </c>
      <c r="K58" s="8">
        <f>'DG RV'!$E$64</f>
        <v>0</v>
      </c>
      <c r="L58" s="8">
        <f>'DG Del'!$E$64</f>
        <v>0</v>
      </c>
      <c r="M58" s="8">
        <f>'DG Iac'!$E$64</f>
        <v>0</v>
      </c>
      <c r="N58" s="8">
        <f>'DG Rad'!$E$64</f>
        <v>0</v>
      </c>
      <c r="O58" s="8">
        <f>'DG Tar'!$E$64</f>
        <v>0</v>
      </c>
      <c r="P58" s="8">
        <f>'DG Mir'!$E$64</f>
        <v>0</v>
      </c>
      <c r="Q58" s="8">
        <f>SUM(E58:P58)</f>
        <v>0</v>
      </c>
      <c r="R58" s="8">
        <f>ROUND(Q58/$R$6,2)</f>
        <v>0</v>
      </c>
      <c r="S58" s="8">
        <f>ROUND(Q58*$W$3,2)</f>
        <v>0</v>
      </c>
      <c r="T58" s="8">
        <f>Q58+S58</f>
        <v>0</v>
      </c>
      <c r="U58" s="8">
        <f t="shared" ref="U58:U61" si="76">ROUND(S58/$R$6,2)+R58</f>
        <v>0</v>
      </c>
    </row>
    <row r="59" spans="1:24" x14ac:dyDescent="0.25">
      <c r="A59" s="40"/>
      <c r="B59" s="107"/>
      <c r="C59" s="38"/>
      <c r="D59" s="126" t="s">
        <v>683</v>
      </c>
      <c r="E59" s="8">
        <f>'DG Bel'!E65</f>
        <v>0</v>
      </c>
      <c r="F59" s="8">
        <f>'DG Tab'!E65</f>
        <v>0</v>
      </c>
      <c r="G59" s="23">
        <f>'DG Trif'!E65</f>
        <v>0</v>
      </c>
      <c r="H59" s="8">
        <f>'DG IMR'!E65</f>
        <v>0</v>
      </c>
      <c r="I59" s="8">
        <f>'DG PAL'!E65</f>
        <v>0</v>
      </c>
      <c r="J59" s="8">
        <f>'DG PNG'!E65</f>
        <v>0</v>
      </c>
      <c r="K59" s="8">
        <f>'DG RV'!$E$65</f>
        <v>0</v>
      </c>
      <c r="L59" s="8">
        <f>'DG Del'!$E$65</f>
        <v>0</v>
      </c>
      <c r="M59" s="8">
        <f>'DG Iac'!$E$65</f>
        <v>0</v>
      </c>
      <c r="N59" s="8">
        <f>'DG Rad'!$E$65</f>
        <v>0</v>
      </c>
      <c r="O59" s="8">
        <f>'DG Tar'!$E$65</f>
        <v>0</v>
      </c>
      <c r="P59" s="8">
        <f>'DG Mir'!$E$65</f>
        <v>0</v>
      </c>
      <c r="Q59" s="8">
        <f>SUM(E59:P59)</f>
        <v>0</v>
      </c>
      <c r="R59" s="8">
        <f t="shared" ref="R59:R61" si="77">ROUND(Q59/$R$6,2)</f>
        <v>0</v>
      </c>
      <c r="S59" s="8">
        <f t="shared" ref="S59:S61" si="78">ROUND(Q59*$W$3,2)</f>
        <v>0</v>
      </c>
      <c r="T59" s="8">
        <f t="shared" ref="T59:T61" si="79">Q59+S59</f>
        <v>0</v>
      </c>
      <c r="U59" s="8">
        <f t="shared" si="76"/>
        <v>0</v>
      </c>
    </row>
    <row r="60" spans="1:24" x14ac:dyDescent="0.25">
      <c r="A60" s="40"/>
      <c r="B60" s="107"/>
      <c r="C60" s="38"/>
      <c r="D60" s="126" t="s">
        <v>684</v>
      </c>
      <c r="E60" s="8">
        <f>'DG Bel'!E66</f>
        <v>0</v>
      </c>
      <c r="F60" s="8">
        <f>'DG Tab'!E66</f>
        <v>0</v>
      </c>
      <c r="G60" s="23">
        <f>'DG Trif'!E66</f>
        <v>0</v>
      </c>
      <c r="H60" s="8">
        <f>'DG IMR'!E66</f>
        <v>0</v>
      </c>
      <c r="I60" s="8">
        <f>'DG PAL'!E66</f>
        <v>0</v>
      </c>
      <c r="J60" s="8">
        <f>'DG PNG'!E66</f>
        <v>0</v>
      </c>
      <c r="K60" s="8">
        <f>'DG RV'!$E$66</f>
        <v>0</v>
      </c>
      <c r="L60" s="8">
        <f>'DG Del'!$E$66</f>
        <v>0</v>
      </c>
      <c r="M60" s="8">
        <f>'DG Iac'!$E$66</f>
        <v>0</v>
      </c>
      <c r="N60" s="8">
        <f>'DG Rad'!$E$66</f>
        <v>0</v>
      </c>
      <c r="O60" s="8">
        <f>'DG Tar'!$E$66</f>
        <v>0</v>
      </c>
      <c r="P60" s="8">
        <f>'DG Mir'!$E$66</f>
        <v>0</v>
      </c>
      <c r="Q60" s="8">
        <f>SUM(E60:P60)</f>
        <v>0</v>
      </c>
      <c r="R60" s="8">
        <f t="shared" si="77"/>
        <v>0</v>
      </c>
      <c r="S60" s="8">
        <f t="shared" si="78"/>
        <v>0</v>
      </c>
      <c r="T60" s="8">
        <f t="shared" si="79"/>
        <v>0</v>
      </c>
      <c r="U60" s="8">
        <f t="shared" si="76"/>
        <v>0</v>
      </c>
    </row>
    <row r="61" spans="1:24" ht="10.199999999999999" customHeight="1" x14ac:dyDescent="0.25">
      <c r="A61" s="40"/>
      <c r="B61" s="107"/>
      <c r="C61" s="38"/>
      <c r="D61" s="126" t="s">
        <v>685</v>
      </c>
      <c r="E61" s="8">
        <f>'DG Bel'!E67</f>
        <v>0</v>
      </c>
      <c r="F61" s="8">
        <f>'DG Tab'!E67</f>
        <v>0</v>
      </c>
      <c r="G61" s="23">
        <f>'DG Trif'!E67</f>
        <v>0</v>
      </c>
      <c r="H61" s="8">
        <f>'DG IMR'!E67</f>
        <v>0</v>
      </c>
      <c r="I61" s="8">
        <f>'DG PAL'!E67</f>
        <v>0</v>
      </c>
      <c r="J61" s="8">
        <f>'DG PNG'!E67</f>
        <v>0</v>
      </c>
      <c r="K61" s="8">
        <f>'DG RV'!$E$67</f>
        <v>0</v>
      </c>
      <c r="L61" s="8">
        <f>'DG Del'!$E$67</f>
        <v>0</v>
      </c>
      <c r="M61" s="8">
        <f>'DG Iac'!$E$67</f>
        <v>0</v>
      </c>
      <c r="N61" s="8">
        <f>'DG Rad'!$E$67</f>
        <v>0</v>
      </c>
      <c r="O61" s="8">
        <f>'DG Tar'!$E$67</f>
        <v>0</v>
      </c>
      <c r="P61" s="8">
        <f>'DG Mir'!$E$67</f>
        <v>0</v>
      </c>
      <c r="Q61" s="8">
        <f>SUM(E61:P61)</f>
        <v>0</v>
      </c>
      <c r="R61" s="8">
        <f t="shared" si="77"/>
        <v>0</v>
      </c>
      <c r="S61" s="8">
        <f t="shared" si="78"/>
        <v>0</v>
      </c>
      <c r="T61" s="8">
        <f t="shared" si="79"/>
        <v>0</v>
      </c>
      <c r="U61" s="8">
        <f t="shared" si="76"/>
        <v>0</v>
      </c>
    </row>
    <row r="62" spans="1:24" ht="10.95" customHeight="1" x14ac:dyDescent="0.25">
      <c r="A62" s="46" t="s">
        <v>110</v>
      </c>
      <c r="B62" s="28"/>
      <c r="C62" s="28" t="s">
        <v>111</v>
      </c>
      <c r="D62" s="34"/>
      <c r="E62" s="36">
        <f t="shared" ref="E62:U62" si="80">SUM(E63:E66)</f>
        <v>0</v>
      </c>
      <c r="F62" s="36">
        <f t="shared" si="80"/>
        <v>0</v>
      </c>
      <c r="G62" s="36">
        <f t="shared" si="80"/>
        <v>0</v>
      </c>
      <c r="H62" s="36">
        <f t="shared" si="80"/>
        <v>0</v>
      </c>
      <c r="I62" s="36">
        <f t="shared" si="80"/>
        <v>0</v>
      </c>
      <c r="J62" s="36">
        <f t="shared" ref="J62" si="81">SUM(J63:J66)</f>
        <v>0</v>
      </c>
      <c r="K62" s="36">
        <f t="shared" ref="K62:L62" si="82">SUM(K63:K66)</f>
        <v>0</v>
      </c>
      <c r="L62" s="36">
        <f t="shared" si="82"/>
        <v>0</v>
      </c>
      <c r="M62" s="36">
        <f t="shared" ref="M62:P62" si="83">SUM(M63:M66)</f>
        <v>0</v>
      </c>
      <c r="N62" s="36">
        <f t="shared" si="83"/>
        <v>0</v>
      </c>
      <c r="O62" s="36">
        <f t="shared" si="83"/>
        <v>0</v>
      </c>
      <c r="P62" s="36">
        <f t="shared" si="83"/>
        <v>0</v>
      </c>
      <c r="Q62" s="36">
        <f t="shared" si="80"/>
        <v>0</v>
      </c>
      <c r="R62" s="36">
        <f t="shared" si="80"/>
        <v>0</v>
      </c>
      <c r="S62" s="36">
        <f t="shared" si="80"/>
        <v>0</v>
      </c>
      <c r="T62" s="36">
        <f t="shared" si="80"/>
        <v>0</v>
      </c>
      <c r="U62" s="36">
        <f t="shared" si="80"/>
        <v>0</v>
      </c>
    </row>
    <row r="63" spans="1:24" x14ac:dyDescent="0.25">
      <c r="A63" s="53"/>
      <c r="B63" s="114"/>
      <c r="C63" s="38"/>
      <c r="D63" s="38" t="s">
        <v>682</v>
      </c>
      <c r="E63" s="8">
        <f>'DG Bel'!E69</f>
        <v>0</v>
      </c>
      <c r="F63" s="8">
        <f>'DG Tab'!E69</f>
        <v>0</v>
      </c>
      <c r="G63" s="23">
        <f>'DG Trif'!E69</f>
        <v>0</v>
      </c>
      <c r="H63" s="8">
        <f>'DG IMR'!E69</f>
        <v>0</v>
      </c>
      <c r="I63" s="8">
        <f>'DG PAL'!E69</f>
        <v>0</v>
      </c>
      <c r="J63" s="8">
        <f>'DG PNG'!E69</f>
        <v>0</v>
      </c>
      <c r="K63" s="8">
        <f>'DG RV'!$E$69</f>
        <v>0</v>
      </c>
      <c r="L63" s="8">
        <f>'DG Del'!$E$69</f>
        <v>0</v>
      </c>
      <c r="M63" s="8">
        <f>'DG Iac'!$E$69</f>
        <v>0</v>
      </c>
      <c r="N63" s="8">
        <f>'DG Rad'!$E$69</f>
        <v>0</v>
      </c>
      <c r="O63" s="8">
        <f>'DG Tar'!$E$69</f>
        <v>0</v>
      </c>
      <c r="P63" s="8">
        <f>'DG Mir'!$E$69</f>
        <v>0</v>
      </c>
      <c r="Q63" s="8">
        <f t="shared" ref="Q63:Q69" si="84">SUM(E63:P63)</f>
        <v>0</v>
      </c>
      <c r="R63" s="8">
        <f>ROUND(Q63/$R$6,2)</f>
        <v>0</v>
      </c>
      <c r="S63" s="8">
        <f>ROUND(Q63*$W$3,2)</f>
        <v>0</v>
      </c>
      <c r="T63" s="8">
        <f>Q63+S63</f>
        <v>0</v>
      </c>
      <c r="U63" s="8">
        <f t="shared" ref="U63:U69" si="85">ROUND(S63/$R$6,2)+R63</f>
        <v>0</v>
      </c>
    </row>
    <row r="64" spans="1:24" x14ac:dyDescent="0.25">
      <c r="A64" s="53"/>
      <c r="B64" s="114"/>
      <c r="C64" s="38"/>
      <c r="D64" s="126" t="s">
        <v>683</v>
      </c>
      <c r="E64" s="8">
        <f>'DG Bel'!E70</f>
        <v>0</v>
      </c>
      <c r="F64" s="8">
        <f>'DG Tab'!E70</f>
        <v>0</v>
      </c>
      <c r="G64" s="23">
        <f>'DG Trif'!E70</f>
        <v>0</v>
      </c>
      <c r="H64" s="8">
        <f>'DG IMR'!E70</f>
        <v>0</v>
      </c>
      <c r="I64" s="8">
        <f>'DG PAL'!E70</f>
        <v>0</v>
      </c>
      <c r="J64" s="8">
        <f>'DG PNG'!E70</f>
        <v>0</v>
      </c>
      <c r="K64" s="8">
        <f>'DG RV'!$E$70</f>
        <v>0</v>
      </c>
      <c r="L64" s="8">
        <f>'DG Del'!$E$70</f>
        <v>0</v>
      </c>
      <c r="M64" s="8">
        <f>'DG Iac'!$E$70</f>
        <v>0</v>
      </c>
      <c r="N64" s="8">
        <f>'DG Rad'!$E$70</f>
        <v>0</v>
      </c>
      <c r="O64" s="8">
        <f>'DG Tar'!$E$70</f>
        <v>0</v>
      </c>
      <c r="P64" s="8">
        <f>'DG Mir'!$E$70</f>
        <v>0</v>
      </c>
      <c r="Q64" s="8">
        <f t="shared" si="84"/>
        <v>0</v>
      </c>
      <c r="R64" s="8">
        <f t="shared" ref="R64:R66" si="86">ROUND(Q64/$R$6,2)</f>
        <v>0</v>
      </c>
      <c r="S64" s="8">
        <f t="shared" ref="S64:S66" si="87">ROUND(Q64*$W$3,2)</f>
        <v>0</v>
      </c>
      <c r="T64" s="8">
        <f t="shared" ref="T64:T66" si="88">Q64+S64</f>
        <v>0</v>
      </c>
      <c r="U64" s="8">
        <f t="shared" si="85"/>
        <v>0</v>
      </c>
    </row>
    <row r="65" spans="1:24" x14ac:dyDescent="0.25">
      <c r="A65" s="53"/>
      <c r="B65" s="114"/>
      <c r="C65" s="38"/>
      <c r="D65" s="126" t="s">
        <v>684</v>
      </c>
      <c r="E65" s="8">
        <f>'DG Bel'!E71</f>
        <v>0</v>
      </c>
      <c r="F65" s="8">
        <f>'DG Tab'!E71</f>
        <v>0</v>
      </c>
      <c r="G65" s="23">
        <f>'DG Trif'!E71</f>
        <v>0</v>
      </c>
      <c r="H65" s="8">
        <f>'DG IMR'!E71</f>
        <v>0</v>
      </c>
      <c r="I65" s="8">
        <f>'DG PAL'!E71</f>
        <v>0</v>
      </c>
      <c r="J65" s="8">
        <f>'DG PNG'!E71</f>
        <v>0</v>
      </c>
      <c r="K65" s="8">
        <f>'DG RV'!$E$71</f>
        <v>0</v>
      </c>
      <c r="L65" s="8">
        <f>'DG Del'!$E$71</f>
        <v>0</v>
      </c>
      <c r="M65" s="8">
        <f>'DG Iac'!$E$71</f>
        <v>0</v>
      </c>
      <c r="N65" s="8">
        <f>'DG Rad'!$E$71</f>
        <v>0</v>
      </c>
      <c r="O65" s="8">
        <f>'DG Tar'!$E$71</f>
        <v>0</v>
      </c>
      <c r="P65" s="8">
        <f>'DG Mir'!$E$71</f>
        <v>0</v>
      </c>
      <c r="Q65" s="8">
        <f t="shared" si="84"/>
        <v>0</v>
      </c>
      <c r="R65" s="8">
        <f t="shared" si="86"/>
        <v>0</v>
      </c>
      <c r="S65" s="8">
        <f t="shared" si="87"/>
        <v>0</v>
      </c>
      <c r="T65" s="8">
        <f t="shared" si="88"/>
        <v>0</v>
      </c>
      <c r="U65" s="8">
        <f t="shared" si="85"/>
        <v>0</v>
      </c>
    </row>
    <row r="66" spans="1:24" ht="10.199999999999999" customHeight="1" x14ac:dyDescent="0.25">
      <c r="A66" s="53"/>
      <c r="B66" s="114"/>
      <c r="C66" s="38"/>
      <c r="D66" s="126" t="s">
        <v>685</v>
      </c>
      <c r="E66" s="8">
        <f>'DG Bel'!E72</f>
        <v>0</v>
      </c>
      <c r="F66" s="8">
        <f>'DG Tab'!E72</f>
        <v>0</v>
      </c>
      <c r="G66" s="23">
        <f>'DG Trif'!E72</f>
        <v>0</v>
      </c>
      <c r="H66" s="8">
        <f>'DG IMR'!E72</f>
        <v>0</v>
      </c>
      <c r="I66" s="8">
        <f>'DG PAL'!E72</f>
        <v>0</v>
      </c>
      <c r="J66" s="8">
        <f>'DG PNG'!E72</f>
        <v>0</v>
      </c>
      <c r="K66" s="8">
        <f>'DG RV'!$E$72</f>
        <v>0</v>
      </c>
      <c r="L66" s="8">
        <f>'DG Del'!$E$72</f>
        <v>0</v>
      </c>
      <c r="M66" s="8">
        <f>'DG Iac'!$E$72</f>
        <v>0</v>
      </c>
      <c r="N66" s="8">
        <f>'DG Rad'!$E$72</f>
        <v>0</v>
      </c>
      <c r="O66" s="8">
        <f>'DG Tar'!$E$72</f>
        <v>0</v>
      </c>
      <c r="P66" s="8">
        <f>'DG Mir'!$E$72</f>
        <v>0</v>
      </c>
      <c r="Q66" s="8">
        <f t="shared" si="84"/>
        <v>0</v>
      </c>
      <c r="R66" s="8">
        <f t="shared" si="86"/>
        <v>0</v>
      </c>
      <c r="S66" s="8">
        <f t="shared" si="87"/>
        <v>0</v>
      </c>
      <c r="T66" s="8">
        <f t="shared" si="88"/>
        <v>0</v>
      </c>
      <c r="U66" s="8">
        <f t="shared" si="85"/>
        <v>0</v>
      </c>
    </row>
    <row r="67" spans="1:24" ht="11.1" customHeight="1" x14ac:dyDescent="0.25">
      <c r="A67" s="40" t="s">
        <v>119</v>
      </c>
      <c r="B67" s="20"/>
      <c r="C67" s="217" t="s">
        <v>120</v>
      </c>
      <c r="D67" s="218"/>
      <c r="E67" s="8">
        <f>'DG Bel'!E73</f>
        <v>0</v>
      </c>
      <c r="F67" s="8">
        <f>'DG Tab'!E73</f>
        <v>0</v>
      </c>
      <c r="G67" s="23">
        <f>'DG Trif'!E73</f>
        <v>0</v>
      </c>
      <c r="H67" s="8">
        <f>'DG IMR'!E73</f>
        <v>0</v>
      </c>
      <c r="I67" s="8">
        <f>'DG PAL'!E73</f>
        <v>0</v>
      </c>
      <c r="J67" s="8">
        <f>'DG PNG'!E73</f>
        <v>0</v>
      </c>
      <c r="K67" s="8">
        <f>'DG RV'!$E$73</f>
        <v>0</v>
      </c>
      <c r="L67" s="8">
        <f>'DG Del'!$E$73</f>
        <v>0</v>
      </c>
      <c r="M67" s="8">
        <f>'DG Iac'!$E$73</f>
        <v>0</v>
      </c>
      <c r="N67" s="8">
        <f>'DG Rad'!$E$73</f>
        <v>0</v>
      </c>
      <c r="O67" s="8">
        <f>'DG Tar'!$E$73</f>
        <v>0</v>
      </c>
      <c r="P67" s="8">
        <f>'DG Mir'!$E$73</f>
        <v>0</v>
      </c>
      <c r="Q67" s="8">
        <f t="shared" si="84"/>
        <v>0</v>
      </c>
      <c r="R67" s="8">
        <f>ROUND(Q67/$R$6,2)</f>
        <v>0</v>
      </c>
      <c r="S67" s="8">
        <f>ROUND(Q67*$W$3,2)</f>
        <v>0</v>
      </c>
      <c r="T67" s="8">
        <f>Q67+S67</f>
        <v>0</v>
      </c>
      <c r="U67" s="8">
        <f t="shared" si="85"/>
        <v>0</v>
      </c>
    </row>
    <row r="68" spans="1:24" ht="11.1" customHeight="1" x14ac:dyDescent="0.25">
      <c r="A68" s="40" t="s">
        <v>121</v>
      </c>
      <c r="B68" s="20"/>
      <c r="C68" s="217" t="s">
        <v>122</v>
      </c>
      <c r="D68" s="218"/>
      <c r="E68" s="8">
        <f>'DG Bel'!E74</f>
        <v>0</v>
      </c>
      <c r="F68" s="8">
        <f>'DG Tab'!E74</f>
        <v>0</v>
      </c>
      <c r="G68" s="23">
        <f>'DG Trif'!E74</f>
        <v>0</v>
      </c>
      <c r="H68" s="8">
        <f>'DG IMR'!E74</f>
        <v>0</v>
      </c>
      <c r="I68" s="8">
        <f>'DG PAL'!E74</f>
        <v>0</v>
      </c>
      <c r="J68" s="8">
        <f>'DG PNG'!E74</f>
        <v>0</v>
      </c>
      <c r="K68" s="8">
        <f>'DG RV'!$E$74</f>
        <v>0</v>
      </c>
      <c r="L68" s="8">
        <f>'DG Del'!$E$74</f>
        <v>0</v>
      </c>
      <c r="M68" s="8">
        <f>'DG Iac'!$E$74</f>
        <v>0</v>
      </c>
      <c r="N68" s="8">
        <f>'DG Rad'!$E$74</f>
        <v>0</v>
      </c>
      <c r="O68" s="8">
        <f>'DG Tar'!$E$74</f>
        <v>0</v>
      </c>
      <c r="P68" s="8">
        <f>'DG Mir'!$E$74</f>
        <v>0</v>
      </c>
      <c r="Q68" s="8">
        <f t="shared" si="84"/>
        <v>0</v>
      </c>
      <c r="R68" s="8">
        <f>ROUND(Q68/$R$6,2)</f>
        <v>0</v>
      </c>
      <c r="S68" s="8">
        <f>ROUND(Q68*$W$3,2)</f>
        <v>0</v>
      </c>
      <c r="T68" s="8">
        <f>Q68+S68</f>
        <v>0</v>
      </c>
      <c r="U68" s="8">
        <f t="shared" si="85"/>
        <v>0</v>
      </c>
    </row>
    <row r="69" spans="1:24" ht="10.95" customHeight="1" x14ac:dyDescent="0.25">
      <c r="A69" s="40" t="s">
        <v>123</v>
      </c>
      <c r="B69" s="20"/>
      <c r="C69" s="217" t="s">
        <v>124</v>
      </c>
      <c r="D69" s="218"/>
      <c r="E69" s="8">
        <f>'DG Bel'!E75</f>
        <v>0</v>
      </c>
      <c r="F69" s="8">
        <f>'DG Tab'!E75</f>
        <v>0</v>
      </c>
      <c r="G69" s="23">
        <f>'DG Trif'!E75</f>
        <v>0</v>
      </c>
      <c r="H69" s="8">
        <f>'DG IMR'!E75</f>
        <v>0</v>
      </c>
      <c r="I69" s="8">
        <f>'DG PAL'!E75</f>
        <v>0</v>
      </c>
      <c r="J69" s="8">
        <f>'DG PNG'!E75</f>
        <v>0</v>
      </c>
      <c r="K69" s="8">
        <f>'DG RV'!$E$75</f>
        <v>0</v>
      </c>
      <c r="L69" s="8">
        <f>'DG Del'!$E$75</f>
        <v>0</v>
      </c>
      <c r="M69" s="8">
        <f>'DG Iac'!$E$75</f>
        <v>0</v>
      </c>
      <c r="N69" s="8">
        <f>'DG Rad'!$E$75</f>
        <v>0</v>
      </c>
      <c r="O69" s="8">
        <f>'DG Tar'!$E$75</f>
        <v>0</v>
      </c>
      <c r="P69" s="8">
        <f>'DG Mir'!$E$75</f>
        <v>0</v>
      </c>
      <c r="Q69" s="8">
        <f t="shared" si="84"/>
        <v>0</v>
      </c>
      <c r="R69" s="8">
        <f>ROUND(Q69/$R$6,2)</f>
        <v>0</v>
      </c>
      <c r="S69" s="8">
        <f>ROUND(Q69*$W$3,2)</f>
        <v>0</v>
      </c>
      <c r="T69" s="8">
        <f>Q69+S69</f>
        <v>0</v>
      </c>
      <c r="U69" s="8">
        <f t="shared" si="85"/>
        <v>0</v>
      </c>
    </row>
    <row r="70" spans="1:24" ht="11.1" customHeight="1" x14ac:dyDescent="0.25">
      <c r="A70" s="45"/>
      <c r="B70" s="25"/>
      <c r="C70" s="215" t="s">
        <v>125</v>
      </c>
      <c r="D70" s="216"/>
      <c r="E70" s="31">
        <f t="shared" ref="E70:U70" si="89">E51+E57+E62+E67+E68+E69</f>
        <v>0</v>
      </c>
      <c r="F70" s="31">
        <f t="shared" si="89"/>
        <v>0</v>
      </c>
      <c r="G70" s="31">
        <f t="shared" si="89"/>
        <v>0</v>
      </c>
      <c r="H70" s="31">
        <f t="shared" si="89"/>
        <v>0</v>
      </c>
      <c r="I70" s="31">
        <f t="shared" si="89"/>
        <v>0</v>
      </c>
      <c r="J70" s="31">
        <f t="shared" ref="J70" si="90">J51+J57+J62+J67+J68+J69</f>
        <v>0</v>
      </c>
      <c r="K70" s="31">
        <f t="shared" ref="K70:L70" si="91">K51+K57+K62+K67+K68+K69</f>
        <v>0</v>
      </c>
      <c r="L70" s="31">
        <f t="shared" si="91"/>
        <v>0</v>
      </c>
      <c r="M70" s="31">
        <f t="shared" ref="M70:P70" si="92">M51+M57+M62+M67+M68+M69</f>
        <v>0</v>
      </c>
      <c r="N70" s="31">
        <f t="shared" si="92"/>
        <v>0</v>
      </c>
      <c r="O70" s="31">
        <f t="shared" si="92"/>
        <v>0</v>
      </c>
      <c r="P70" s="31">
        <f t="shared" si="92"/>
        <v>0</v>
      </c>
      <c r="Q70" s="31">
        <f t="shared" si="89"/>
        <v>0</v>
      </c>
      <c r="R70" s="31">
        <f t="shared" si="89"/>
        <v>0</v>
      </c>
      <c r="S70" s="31">
        <f t="shared" si="89"/>
        <v>0</v>
      </c>
      <c r="T70" s="31">
        <f t="shared" si="89"/>
        <v>0</v>
      </c>
      <c r="U70" s="31">
        <f t="shared" si="89"/>
        <v>0</v>
      </c>
      <c r="W70" s="135"/>
      <c r="X70" s="54"/>
    </row>
    <row r="71" spans="1:24" ht="11.1" customHeight="1" x14ac:dyDescent="0.25">
      <c r="A71" s="40"/>
      <c r="B71" s="221" t="s">
        <v>126</v>
      </c>
      <c r="C71" s="222"/>
      <c r="D71" s="22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8"/>
      <c r="S71" s="9"/>
      <c r="T71" s="9"/>
      <c r="U71" s="9"/>
    </row>
    <row r="72" spans="1:24" ht="11.1" customHeight="1" x14ac:dyDescent="0.25">
      <c r="A72" s="46" t="s">
        <v>127</v>
      </c>
      <c r="B72" s="28"/>
      <c r="C72" s="219" t="s">
        <v>128</v>
      </c>
      <c r="D72" s="220"/>
      <c r="E72" s="29">
        <f t="shared" ref="E72" si="93">SUM(E73:E74)</f>
        <v>0</v>
      </c>
      <c r="F72" s="29">
        <f t="shared" ref="F72:H72" si="94">SUM(F73:F74)</f>
        <v>0</v>
      </c>
      <c r="G72" s="29">
        <f t="shared" si="94"/>
        <v>0</v>
      </c>
      <c r="H72" s="29">
        <f t="shared" si="94"/>
        <v>0</v>
      </c>
      <c r="I72" s="29">
        <f t="shared" ref="I72" si="95">SUM(I73:I74)</f>
        <v>0</v>
      </c>
      <c r="J72" s="29">
        <f t="shared" ref="J72" si="96">SUM(J73:J74)</f>
        <v>0</v>
      </c>
      <c r="K72" s="29">
        <f t="shared" ref="K72:L72" si="97">SUM(K73:K74)</f>
        <v>0</v>
      </c>
      <c r="L72" s="29">
        <f t="shared" si="97"/>
        <v>0</v>
      </c>
      <c r="M72" s="29">
        <f t="shared" ref="M72:P72" si="98">SUM(M73:M74)</f>
        <v>0</v>
      </c>
      <c r="N72" s="29">
        <f t="shared" si="98"/>
        <v>0</v>
      </c>
      <c r="O72" s="29">
        <f t="shared" si="98"/>
        <v>0</v>
      </c>
      <c r="P72" s="29">
        <f t="shared" si="98"/>
        <v>0</v>
      </c>
      <c r="Q72" s="29">
        <f t="shared" ref="Q72" si="99">SUM(Q73:Q74)</f>
        <v>0</v>
      </c>
      <c r="R72" s="29">
        <f t="shared" ref="R72:U72" si="100">SUM(R73:R74)</f>
        <v>0</v>
      </c>
      <c r="S72" s="29">
        <f t="shared" si="100"/>
        <v>0</v>
      </c>
      <c r="T72" s="29">
        <f t="shared" si="100"/>
        <v>0</v>
      </c>
      <c r="U72" s="29">
        <f t="shared" si="100"/>
        <v>0</v>
      </c>
      <c r="V72" s="7"/>
    </row>
    <row r="73" spans="1:24" ht="11.1" customHeight="1" x14ac:dyDescent="0.25">
      <c r="A73" s="47"/>
      <c r="B73" s="15" t="s">
        <v>129</v>
      </c>
      <c r="C73" s="227" t="s">
        <v>130</v>
      </c>
      <c r="D73" s="228"/>
      <c r="E73" s="8">
        <f>'DG Bel'!E79</f>
        <v>0</v>
      </c>
      <c r="F73" s="8">
        <f>'DG Tab'!E79</f>
        <v>0</v>
      </c>
      <c r="G73" s="23">
        <f>'DG Trif'!E79</f>
        <v>0</v>
      </c>
      <c r="H73" s="8">
        <f>'DG IMR'!E79</f>
        <v>0</v>
      </c>
      <c r="I73" s="8">
        <f>'DG PAL'!E79</f>
        <v>0</v>
      </c>
      <c r="J73" s="8">
        <f>'DG PNG'!F79</f>
        <v>0</v>
      </c>
      <c r="K73" s="8">
        <f>'DG RV'!$E$79</f>
        <v>0</v>
      </c>
      <c r="L73" s="8">
        <f>'DG Del'!$E$79</f>
        <v>0</v>
      </c>
      <c r="M73" s="8">
        <f>'DG Iac'!$E$79</f>
        <v>0</v>
      </c>
      <c r="N73" s="8">
        <f>'DG Rad'!$E$79</f>
        <v>0</v>
      </c>
      <c r="O73" s="8">
        <f>'DG Tar'!$E$79</f>
        <v>0</v>
      </c>
      <c r="P73" s="8">
        <f>'DG Mir'!$E$79</f>
        <v>0</v>
      </c>
      <c r="Q73" s="8">
        <f>SUM(E73:P73)</f>
        <v>0</v>
      </c>
      <c r="R73" s="8">
        <f>ROUND(Q73/$R$6,2)</f>
        <v>0</v>
      </c>
      <c r="S73" s="8">
        <f>ROUND(Q73*$W$3,2)</f>
        <v>0</v>
      </c>
      <c r="T73" s="8">
        <f>Q73+S73</f>
        <v>0</v>
      </c>
      <c r="U73" s="8">
        <f t="shared" ref="U73:U74" si="101">ROUND(S73/$R$6,2)+R73</f>
        <v>0</v>
      </c>
      <c r="V73" s="7"/>
    </row>
    <row r="74" spans="1:24" ht="11.1" customHeight="1" x14ac:dyDescent="0.25">
      <c r="A74" s="47"/>
      <c r="B74" s="15" t="s">
        <v>131</v>
      </c>
      <c r="C74" s="15" t="s">
        <v>132</v>
      </c>
      <c r="D74" s="15"/>
      <c r="E74" s="8">
        <f>'DG Bel'!E80</f>
        <v>0</v>
      </c>
      <c r="F74" s="8">
        <f>'DG Tab'!E80</f>
        <v>0</v>
      </c>
      <c r="G74" s="23">
        <f>'DG Trif'!E80</f>
        <v>0</v>
      </c>
      <c r="H74" s="8">
        <f>'DG IMR'!E80</f>
        <v>0</v>
      </c>
      <c r="I74" s="8">
        <f>'DG PAL'!E80</f>
        <v>0</v>
      </c>
      <c r="J74" s="8">
        <f>'DG PNG'!F80</f>
        <v>0</v>
      </c>
      <c r="K74" s="8">
        <f>'DG RV'!$E$80</f>
        <v>0</v>
      </c>
      <c r="L74" s="8">
        <f>'DG Del'!$E$80</f>
        <v>0</v>
      </c>
      <c r="M74" s="8">
        <f>'DG Iac'!$E$80</f>
        <v>0</v>
      </c>
      <c r="N74" s="8">
        <f>'DG Rad'!$E$80</f>
        <v>0</v>
      </c>
      <c r="O74" s="8">
        <f>'DG Tar'!$E$80</f>
        <v>0</v>
      </c>
      <c r="P74" s="8">
        <f>'DG Mir'!$E$80</f>
        <v>0</v>
      </c>
      <c r="Q74" s="8">
        <f>SUM(E74:P74)</f>
        <v>0</v>
      </c>
      <c r="R74" s="8">
        <f>ROUND(Q74/$R$6,2)</f>
        <v>0</v>
      </c>
      <c r="S74" s="8">
        <f>ROUND(Q74*$W$3,2)</f>
        <v>0</v>
      </c>
      <c r="T74" s="8">
        <f>Q74+S74</f>
        <v>0</v>
      </c>
      <c r="U74" s="8">
        <f t="shared" si="101"/>
        <v>0</v>
      </c>
      <c r="V74" s="7"/>
    </row>
    <row r="75" spans="1:24" ht="11.1" customHeight="1" x14ac:dyDescent="0.25">
      <c r="A75" s="48" t="s">
        <v>133</v>
      </c>
      <c r="B75" s="28"/>
      <c r="C75" s="28" t="s">
        <v>134</v>
      </c>
      <c r="D75" s="28"/>
      <c r="E75" s="27">
        <f>SUM(E76:E80)</f>
        <v>0</v>
      </c>
      <c r="F75" s="27">
        <f t="shared" ref="F75:Q75" si="102">SUM(F76:F80)</f>
        <v>0</v>
      </c>
      <c r="G75" s="27">
        <f t="shared" si="102"/>
        <v>0</v>
      </c>
      <c r="H75" s="27">
        <f t="shared" si="102"/>
        <v>0</v>
      </c>
      <c r="I75" s="27">
        <f t="shared" si="102"/>
        <v>0</v>
      </c>
      <c r="J75" s="27">
        <f t="shared" ref="J75" si="103">SUM(J76:J80)</f>
        <v>0</v>
      </c>
      <c r="K75" s="27">
        <f t="shared" ref="K75:L75" si="104">SUM(K76:K80)</f>
        <v>0</v>
      </c>
      <c r="L75" s="27">
        <f t="shared" si="104"/>
        <v>0</v>
      </c>
      <c r="M75" s="27">
        <f t="shared" ref="M75:P75" si="105">SUM(M76:M80)</f>
        <v>0</v>
      </c>
      <c r="N75" s="27">
        <f t="shared" si="105"/>
        <v>0</v>
      </c>
      <c r="O75" s="27">
        <f t="shared" si="105"/>
        <v>0</v>
      </c>
      <c r="P75" s="27">
        <f t="shared" si="105"/>
        <v>0</v>
      </c>
      <c r="Q75" s="27">
        <f t="shared" si="102"/>
        <v>0</v>
      </c>
      <c r="R75" s="27">
        <f t="shared" ref="R75:U75" si="106">SUM(R76:R80)</f>
        <v>0</v>
      </c>
      <c r="S75" s="27">
        <f t="shared" si="106"/>
        <v>0</v>
      </c>
      <c r="T75" s="27">
        <f t="shared" si="106"/>
        <v>0</v>
      </c>
      <c r="U75" s="27">
        <f t="shared" si="106"/>
        <v>0</v>
      </c>
      <c r="V75" s="7"/>
    </row>
    <row r="76" spans="1:24" ht="11.1" customHeight="1" x14ac:dyDescent="0.25">
      <c r="A76" s="40"/>
      <c r="B76" s="15" t="s">
        <v>135</v>
      </c>
      <c r="C76" s="227" t="s">
        <v>136</v>
      </c>
      <c r="D76" s="228"/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f t="shared" ref="R76:R82" si="107">ROUND(Q76/$R$6,2)</f>
        <v>0</v>
      </c>
      <c r="S76" s="8">
        <f>SUM(S77:S79)*0</f>
        <v>0</v>
      </c>
      <c r="T76" s="8">
        <f t="shared" ref="T76:T82" si="108">Q76+S76</f>
        <v>0</v>
      </c>
      <c r="U76" s="8">
        <f t="shared" ref="U76" si="109">T76/$R$6</f>
        <v>0</v>
      </c>
      <c r="V76" s="7"/>
      <c r="W76" s="7"/>
    </row>
    <row r="77" spans="1:24" ht="12" customHeight="1" x14ac:dyDescent="0.25">
      <c r="A77" s="40"/>
      <c r="B77" s="15" t="s">
        <v>137</v>
      </c>
      <c r="C77" s="209" t="s">
        <v>1873</v>
      </c>
      <c r="D77" s="210"/>
      <c r="E77" s="8">
        <f>(E51+E73)*0.5%</f>
        <v>0</v>
      </c>
      <c r="F77" s="8">
        <f t="shared" ref="F77:P77" si="110">(F51+F73)*0.5%</f>
        <v>0</v>
      </c>
      <c r="G77" s="8">
        <f t="shared" si="110"/>
        <v>0</v>
      </c>
      <c r="H77" s="8">
        <f t="shared" si="110"/>
        <v>0</v>
      </c>
      <c r="I77" s="8">
        <f t="shared" si="110"/>
        <v>0</v>
      </c>
      <c r="J77" s="8">
        <f t="shared" si="110"/>
        <v>0</v>
      </c>
      <c r="K77" s="8">
        <f t="shared" si="110"/>
        <v>0</v>
      </c>
      <c r="L77" s="8">
        <f t="shared" si="110"/>
        <v>0</v>
      </c>
      <c r="M77" s="8">
        <f t="shared" si="110"/>
        <v>0</v>
      </c>
      <c r="N77" s="8">
        <f t="shared" si="110"/>
        <v>0</v>
      </c>
      <c r="O77" s="8">
        <f t="shared" si="110"/>
        <v>0</v>
      </c>
      <c r="P77" s="8">
        <f t="shared" si="110"/>
        <v>0</v>
      </c>
      <c r="Q77" s="8">
        <f>SUM(E77:P77)</f>
        <v>0</v>
      </c>
      <c r="R77" s="8">
        <f t="shared" si="107"/>
        <v>0</v>
      </c>
      <c r="S77" s="8">
        <v>0</v>
      </c>
      <c r="T77" s="8">
        <f t="shared" si="108"/>
        <v>0</v>
      </c>
      <c r="U77" s="8">
        <f t="shared" ref="U77:U82" si="111">ROUND(S77/$R$6,2)+R77</f>
        <v>0</v>
      </c>
      <c r="V77" s="7"/>
      <c r="W77" s="7"/>
    </row>
    <row r="78" spans="1:24" ht="24" customHeight="1" x14ac:dyDescent="0.25">
      <c r="A78" s="40"/>
      <c r="B78" s="15" t="s">
        <v>138</v>
      </c>
      <c r="C78" s="209" t="s">
        <v>1874</v>
      </c>
      <c r="D78" s="210"/>
      <c r="E78" s="8">
        <f>(E51+E73)*0.1%</f>
        <v>0</v>
      </c>
      <c r="F78" s="8">
        <f t="shared" ref="F78:P78" si="112">(F51+F73)*0.1%</f>
        <v>0</v>
      </c>
      <c r="G78" s="8">
        <f t="shared" si="112"/>
        <v>0</v>
      </c>
      <c r="H78" s="8">
        <f t="shared" si="112"/>
        <v>0</v>
      </c>
      <c r="I78" s="8">
        <f t="shared" si="112"/>
        <v>0</v>
      </c>
      <c r="J78" s="8">
        <f t="shared" si="112"/>
        <v>0</v>
      </c>
      <c r="K78" s="8">
        <f t="shared" si="112"/>
        <v>0</v>
      </c>
      <c r="L78" s="8">
        <f t="shared" si="112"/>
        <v>0</v>
      </c>
      <c r="M78" s="8">
        <f t="shared" si="112"/>
        <v>0</v>
      </c>
      <c r="N78" s="8">
        <f t="shared" si="112"/>
        <v>0</v>
      </c>
      <c r="O78" s="8">
        <f t="shared" si="112"/>
        <v>0</v>
      </c>
      <c r="P78" s="8">
        <f t="shared" si="112"/>
        <v>0</v>
      </c>
      <c r="Q78" s="8">
        <f t="shared" ref="Q78:Q82" si="113">SUM(E78:P78)</f>
        <v>0</v>
      </c>
      <c r="R78" s="8">
        <f t="shared" si="107"/>
        <v>0</v>
      </c>
      <c r="S78" s="8">
        <v>0</v>
      </c>
      <c r="T78" s="8">
        <f t="shared" si="108"/>
        <v>0</v>
      </c>
      <c r="U78" s="8">
        <f t="shared" si="111"/>
        <v>0</v>
      </c>
      <c r="V78" s="7"/>
      <c r="W78" s="7"/>
    </row>
    <row r="79" spans="1:24" ht="11.1" customHeight="1" x14ac:dyDescent="0.25">
      <c r="A79" s="40"/>
      <c r="B79" s="15" t="s">
        <v>139</v>
      </c>
      <c r="C79" s="227" t="s">
        <v>140</v>
      </c>
      <c r="D79" s="228"/>
      <c r="E79" s="8">
        <f>(E89)*0.5%</f>
        <v>0</v>
      </c>
      <c r="F79" s="8">
        <f t="shared" ref="F79:I79" si="114">(F89)*0.5%</f>
        <v>0</v>
      </c>
      <c r="G79" s="8">
        <f t="shared" si="114"/>
        <v>0</v>
      </c>
      <c r="H79" s="8">
        <f t="shared" ref="H79" si="115">(H89)*0.5%</f>
        <v>0</v>
      </c>
      <c r="I79" s="8">
        <f t="shared" si="114"/>
        <v>0</v>
      </c>
      <c r="J79" s="8">
        <f t="shared" ref="J79" si="116">(J89)*0.5%</f>
        <v>0</v>
      </c>
      <c r="K79" s="8">
        <f t="shared" ref="K79:L79" si="117">(K89)*0.5%</f>
        <v>0</v>
      </c>
      <c r="L79" s="8">
        <f t="shared" si="117"/>
        <v>0</v>
      </c>
      <c r="M79" s="8">
        <f t="shared" ref="M79:P79" si="118">(M89)*0.5%</f>
        <v>0</v>
      </c>
      <c r="N79" s="8">
        <f t="shared" si="118"/>
        <v>0</v>
      </c>
      <c r="O79" s="8">
        <f t="shared" si="118"/>
        <v>0</v>
      </c>
      <c r="P79" s="8">
        <f t="shared" si="118"/>
        <v>0</v>
      </c>
      <c r="Q79" s="8">
        <f t="shared" si="113"/>
        <v>0</v>
      </c>
      <c r="R79" s="8">
        <f t="shared" si="107"/>
        <v>0</v>
      </c>
      <c r="S79" s="8">
        <v>0</v>
      </c>
      <c r="T79" s="8">
        <f t="shared" si="108"/>
        <v>0</v>
      </c>
      <c r="U79" s="8">
        <f t="shared" si="111"/>
        <v>0</v>
      </c>
      <c r="V79" s="7"/>
      <c r="W79" s="7"/>
    </row>
    <row r="80" spans="1:24" ht="12" customHeight="1" x14ac:dyDescent="0.25">
      <c r="A80" s="40"/>
      <c r="B80" s="15" t="s">
        <v>141</v>
      </c>
      <c r="C80" s="260" t="s">
        <v>142</v>
      </c>
      <c r="D80" s="260"/>
      <c r="E80" s="8">
        <f>(E51+E73)*1%</f>
        <v>0</v>
      </c>
      <c r="F80" s="8">
        <f t="shared" ref="F80:P80" si="119">(F51+F73)*1%</f>
        <v>0</v>
      </c>
      <c r="G80" s="8">
        <f t="shared" si="119"/>
        <v>0</v>
      </c>
      <c r="H80" s="8">
        <f t="shared" si="119"/>
        <v>0</v>
      </c>
      <c r="I80" s="8">
        <f t="shared" si="119"/>
        <v>0</v>
      </c>
      <c r="J80" s="8">
        <f t="shared" si="119"/>
        <v>0</v>
      </c>
      <c r="K80" s="8">
        <f t="shared" si="119"/>
        <v>0</v>
      </c>
      <c r="L80" s="8">
        <f t="shared" si="119"/>
        <v>0</v>
      </c>
      <c r="M80" s="8">
        <f t="shared" si="119"/>
        <v>0</v>
      </c>
      <c r="N80" s="8">
        <f t="shared" si="119"/>
        <v>0</v>
      </c>
      <c r="O80" s="8">
        <f t="shared" si="119"/>
        <v>0</v>
      </c>
      <c r="P80" s="8">
        <f t="shared" si="119"/>
        <v>0</v>
      </c>
      <c r="Q80" s="8">
        <f t="shared" si="113"/>
        <v>0</v>
      </c>
      <c r="R80" s="8">
        <f t="shared" si="107"/>
        <v>0</v>
      </c>
      <c r="S80" s="8">
        <f>E80*0</f>
        <v>0</v>
      </c>
      <c r="T80" s="8">
        <f t="shared" si="108"/>
        <v>0</v>
      </c>
      <c r="U80" s="8">
        <f t="shared" si="111"/>
        <v>0</v>
      </c>
      <c r="V80" s="5"/>
      <c r="W80" s="5"/>
    </row>
    <row r="81" spans="1:24" ht="11.1" customHeight="1" x14ac:dyDescent="0.25">
      <c r="A81" s="46" t="s">
        <v>143</v>
      </c>
      <c r="B81" s="20"/>
      <c r="C81" s="20" t="s">
        <v>144</v>
      </c>
      <c r="D81" s="20"/>
      <c r="E81" s="10">
        <f t="shared" ref="E81:I81" si="120">(E19+E22+E31+E44+E70)*15%</f>
        <v>0</v>
      </c>
      <c r="F81" s="10">
        <f t="shared" si="120"/>
        <v>0</v>
      </c>
      <c r="G81" s="10">
        <f t="shared" si="120"/>
        <v>0</v>
      </c>
      <c r="H81" s="10">
        <f t="shared" si="120"/>
        <v>0</v>
      </c>
      <c r="I81" s="10">
        <f t="shared" si="120"/>
        <v>0</v>
      </c>
      <c r="J81" s="10">
        <f t="shared" ref="J81" si="121">(J19+J22+J31+J44+J70)*15%</f>
        <v>0</v>
      </c>
      <c r="K81" s="10">
        <f t="shared" ref="K81:L81" si="122">(K19+K22+K31+K44+K70)*15%</f>
        <v>0</v>
      </c>
      <c r="L81" s="10">
        <f t="shared" si="122"/>
        <v>0</v>
      </c>
      <c r="M81" s="10">
        <f t="shared" ref="M81:P81" si="123">(M19+M22+M31+M44+M70)*15%</f>
        <v>0</v>
      </c>
      <c r="N81" s="10">
        <f t="shared" si="123"/>
        <v>0</v>
      </c>
      <c r="O81" s="10">
        <f t="shared" si="123"/>
        <v>0</v>
      </c>
      <c r="P81" s="10">
        <f t="shared" si="123"/>
        <v>0</v>
      </c>
      <c r="Q81" s="8">
        <f t="shared" si="113"/>
        <v>0</v>
      </c>
      <c r="R81" s="8">
        <f t="shared" si="107"/>
        <v>0</v>
      </c>
      <c r="S81" s="8">
        <f>ROUND(Q81*$W$3,2)</f>
        <v>0</v>
      </c>
      <c r="T81" s="8">
        <f t="shared" si="108"/>
        <v>0</v>
      </c>
      <c r="U81" s="8">
        <f t="shared" si="111"/>
        <v>0</v>
      </c>
      <c r="V81" s="5"/>
      <c r="W81" s="5"/>
    </row>
    <row r="82" spans="1:24" s="32" customFormat="1" ht="11.1" customHeight="1" x14ac:dyDescent="0.25">
      <c r="A82" s="40">
        <v>5.4</v>
      </c>
      <c r="B82" s="20"/>
      <c r="C82" s="217" t="s">
        <v>145</v>
      </c>
      <c r="D82" s="218"/>
      <c r="E82" s="8">
        <f>'DG Bel'!E88</f>
        <v>0</v>
      </c>
      <c r="F82" s="8">
        <f>'DG Tab'!E88</f>
        <v>0</v>
      </c>
      <c r="G82" s="23">
        <f>'DG Trif'!E88</f>
        <v>0</v>
      </c>
      <c r="H82" s="8">
        <f>'DG IMR'!E88</f>
        <v>0</v>
      </c>
      <c r="I82" s="8">
        <f>'DG PAL'!E88</f>
        <v>0</v>
      </c>
      <c r="J82" s="8">
        <f>'DG PNG'!E88</f>
        <v>0</v>
      </c>
      <c r="K82" s="8">
        <f>'DG RV'!$E$88</f>
        <v>0</v>
      </c>
      <c r="L82" s="8">
        <f>'DG Del'!$E$88</f>
        <v>0</v>
      </c>
      <c r="M82" s="8">
        <f>'DG Iac'!$E$88</f>
        <v>0</v>
      </c>
      <c r="N82" s="8">
        <f>'DG Rad'!$E$88</f>
        <v>0</v>
      </c>
      <c r="O82" s="8">
        <f>'DG Tar'!$E$88</f>
        <v>0</v>
      </c>
      <c r="P82" s="8">
        <f>'DG Mir'!$E$88</f>
        <v>0</v>
      </c>
      <c r="Q82" s="8">
        <f t="shared" si="113"/>
        <v>0</v>
      </c>
      <c r="R82" s="8">
        <f t="shared" si="107"/>
        <v>0</v>
      </c>
      <c r="S82" s="8">
        <f>ROUND(Q82*$W$3,2)</f>
        <v>0</v>
      </c>
      <c r="T82" s="8">
        <f t="shared" si="108"/>
        <v>0</v>
      </c>
      <c r="U82" s="8">
        <f t="shared" si="111"/>
        <v>0</v>
      </c>
      <c r="V82" s="61"/>
    </row>
    <row r="83" spans="1:24" ht="11.1" customHeight="1" x14ac:dyDescent="0.25">
      <c r="A83" s="45"/>
      <c r="B83" s="25"/>
      <c r="C83" s="215" t="s">
        <v>146</v>
      </c>
      <c r="D83" s="216"/>
      <c r="E83" s="31">
        <f>E72+E75+E81+E82</f>
        <v>0</v>
      </c>
      <c r="F83" s="31">
        <f t="shared" ref="F83:Q83" si="124">F72+F75+F81+F82</f>
        <v>0</v>
      </c>
      <c r="G83" s="31">
        <f t="shared" si="124"/>
        <v>0</v>
      </c>
      <c r="H83" s="31">
        <f t="shared" si="124"/>
        <v>0</v>
      </c>
      <c r="I83" s="31">
        <f t="shared" si="124"/>
        <v>0</v>
      </c>
      <c r="J83" s="31">
        <f t="shared" ref="J83" si="125">J72+J75+J81+J82</f>
        <v>0</v>
      </c>
      <c r="K83" s="31">
        <f t="shared" ref="K83:L83" si="126">K72+K75+K81+K82</f>
        <v>0</v>
      </c>
      <c r="L83" s="31">
        <f t="shared" si="126"/>
        <v>0</v>
      </c>
      <c r="M83" s="31">
        <f t="shared" ref="M83:P83" si="127">M72+M75+M81+M82</f>
        <v>0</v>
      </c>
      <c r="N83" s="31">
        <f t="shared" si="127"/>
        <v>0</v>
      </c>
      <c r="O83" s="31">
        <f t="shared" si="127"/>
        <v>0</v>
      </c>
      <c r="P83" s="31">
        <f t="shared" si="127"/>
        <v>0</v>
      </c>
      <c r="Q83" s="31">
        <f t="shared" si="124"/>
        <v>0</v>
      </c>
      <c r="R83" s="31">
        <f t="shared" ref="R83:U83" si="128">R72+R75+R81+R82</f>
        <v>0</v>
      </c>
      <c r="S83" s="31">
        <f t="shared" si="128"/>
        <v>0</v>
      </c>
      <c r="T83" s="31">
        <f t="shared" si="128"/>
        <v>0</v>
      </c>
      <c r="U83" s="31">
        <f t="shared" si="128"/>
        <v>0</v>
      </c>
      <c r="V83" s="7"/>
      <c r="W83" s="135"/>
      <c r="X83" s="54"/>
    </row>
    <row r="84" spans="1:24" ht="11.1" customHeight="1" x14ac:dyDescent="0.25">
      <c r="A84" s="40"/>
      <c r="B84" s="18" t="s">
        <v>147</v>
      </c>
      <c r="C84" s="15"/>
      <c r="D84" s="15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8"/>
      <c r="S84" s="19"/>
      <c r="T84" s="9"/>
      <c r="U84" s="9"/>
    </row>
    <row r="85" spans="1:24" ht="11.1" customHeight="1" x14ac:dyDescent="0.25">
      <c r="A85" s="40" t="s">
        <v>148</v>
      </c>
      <c r="B85" s="15"/>
      <c r="C85" s="231" t="s">
        <v>149</v>
      </c>
      <c r="D85" s="232"/>
      <c r="E85" s="8">
        <f>'DG Bel'!E91</f>
        <v>0</v>
      </c>
      <c r="F85" s="8">
        <f>'DG Tab'!E91</f>
        <v>0</v>
      </c>
      <c r="G85" s="23">
        <f>'DG Trif'!E91</f>
        <v>0</v>
      </c>
      <c r="H85" s="8">
        <f>'DG IMR'!E91</f>
        <v>0</v>
      </c>
      <c r="I85" s="8">
        <f>'DG PAL'!E91</f>
        <v>0</v>
      </c>
      <c r="J85" s="8">
        <f>'DG PNG'!E91</f>
        <v>0</v>
      </c>
      <c r="K85" s="8">
        <f>'DG RV'!$E$91</f>
        <v>0</v>
      </c>
      <c r="L85" s="8">
        <f>'DG Del'!$E$91</f>
        <v>0</v>
      </c>
      <c r="M85" s="8">
        <f>'DG Iac'!$E$91</f>
        <v>0</v>
      </c>
      <c r="N85" s="8">
        <f>'DG Rad'!$E$91</f>
        <v>0</v>
      </c>
      <c r="O85" s="8">
        <f>'DG Tar'!$E$91</f>
        <v>0</v>
      </c>
      <c r="P85" s="8">
        <f>'DG Mir'!$E$91</f>
        <v>0</v>
      </c>
      <c r="Q85" s="8">
        <f>SUM(E85:P85)</f>
        <v>0</v>
      </c>
      <c r="R85" s="8">
        <f>ROUND(Q85/$R$6,2)</f>
        <v>0</v>
      </c>
      <c r="S85" s="8">
        <f>ROUND(Q85*$W$3,2)</f>
        <v>0</v>
      </c>
      <c r="T85" s="8">
        <f>Q85+S85</f>
        <v>0</v>
      </c>
      <c r="U85" s="8">
        <f t="shared" ref="U85:U86" si="129">ROUND(S85/$R$6,2)+R85</f>
        <v>0</v>
      </c>
    </row>
    <row r="86" spans="1:24" ht="11.1" customHeight="1" x14ac:dyDescent="0.25">
      <c r="A86" s="40" t="s">
        <v>150</v>
      </c>
      <c r="B86" s="15"/>
      <c r="C86" s="231" t="s">
        <v>151</v>
      </c>
      <c r="D86" s="232"/>
      <c r="E86" s="8">
        <f>'DG Bel'!E92</f>
        <v>0</v>
      </c>
      <c r="F86" s="8">
        <f>'DG Tab'!E92</f>
        <v>0</v>
      </c>
      <c r="G86" s="23">
        <f>'DG Trif'!E92</f>
        <v>0</v>
      </c>
      <c r="H86" s="8">
        <f>'DG IMR'!E92</f>
        <v>0</v>
      </c>
      <c r="I86" s="8">
        <f>'DG PAL'!E92</f>
        <v>0</v>
      </c>
      <c r="J86" s="8">
        <f>'DG PNG'!E92</f>
        <v>0</v>
      </c>
      <c r="K86" s="8">
        <f>'DG RV'!$E$92</f>
        <v>0</v>
      </c>
      <c r="L86" s="8">
        <f>'DG Del'!$E$92</f>
        <v>0</v>
      </c>
      <c r="M86" s="8">
        <f>'DG Iac'!$E$92</f>
        <v>0</v>
      </c>
      <c r="N86" s="8">
        <f>'DG Rad'!$E$92</f>
        <v>0</v>
      </c>
      <c r="O86" s="8">
        <f>'DG Tar'!$E$92</f>
        <v>0</v>
      </c>
      <c r="P86" s="8">
        <f>'DG Mir'!$E$92</f>
        <v>0</v>
      </c>
      <c r="Q86" s="8">
        <f>SUM(E86:P86)</f>
        <v>0</v>
      </c>
      <c r="R86" s="8">
        <f>ROUND(Q86/$R$6,2)</f>
        <v>0</v>
      </c>
      <c r="S86" s="8">
        <v>0</v>
      </c>
      <c r="T86" s="8">
        <f>Q86+S86</f>
        <v>0</v>
      </c>
      <c r="U86" s="8">
        <f t="shared" si="129"/>
        <v>0</v>
      </c>
    </row>
    <row r="87" spans="1:24" ht="15.6" x14ac:dyDescent="0.25">
      <c r="A87" s="52"/>
      <c r="B87" s="25"/>
      <c r="C87" s="233" t="s">
        <v>152</v>
      </c>
      <c r="D87" s="234"/>
      <c r="E87" s="30">
        <f>SUM(E85:E86)</f>
        <v>0</v>
      </c>
      <c r="F87" s="30">
        <f t="shared" ref="F87:Q87" si="130">SUM(F85:F86)</f>
        <v>0</v>
      </c>
      <c r="G87" s="30">
        <f t="shared" si="130"/>
        <v>0</v>
      </c>
      <c r="H87" s="30">
        <f t="shared" si="130"/>
        <v>0</v>
      </c>
      <c r="I87" s="30">
        <f t="shared" si="130"/>
        <v>0</v>
      </c>
      <c r="J87" s="30">
        <f t="shared" ref="J87" si="131">SUM(J85:J86)</f>
        <v>0</v>
      </c>
      <c r="K87" s="30">
        <f t="shared" ref="K87:L87" si="132">SUM(K85:K86)</f>
        <v>0</v>
      </c>
      <c r="L87" s="30">
        <f t="shared" si="132"/>
        <v>0</v>
      </c>
      <c r="M87" s="30">
        <f t="shared" ref="M87:P87" si="133">SUM(M85:M86)</f>
        <v>0</v>
      </c>
      <c r="N87" s="30">
        <f t="shared" si="133"/>
        <v>0</v>
      </c>
      <c r="O87" s="30">
        <f t="shared" si="133"/>
        <v>0</v>
      </c>
      <c r="P87" s="30">
        <f t="shared" si="133"/>
        <v>0</v>
      </c>
      <c r="Q87" s="30">
        <f t="shared" si="130"/>
        <v>0</v>
      </c>
      <c r="R87" s="30">
        <f t="shared" ref="R87:U87" si="134">SUM(R85:R86)</f>
        <v>0</v>
      </c>
      <c r="S87" s="30">
        <f t="shared" si="134"/>
        <v>0</v>
      </c>
      <c r="T87" s="30">
        <f t="shared" si="134"/>
        <v>0</v>
      </c>
      <c r="U87" s="30">
        <f t="shared" si="134"/>
        <v>0</v>
      </c>
      <c r="W87" s="135"/>
      <c r="X87" s="54"/>
    </row>
    <row r="88" spans="1:24" ht="15.6" x14ac:dyDescent="0.3">
      <c r="A88" s="224" t="s">
        <v>153</v>
      </c>
      <c r="B88" s="224"/>
      <c r="C88" s="224"/>
      <c r="D88" s="224"/>
      <c r="E88" s="21">
        <f t="shared" ref="E88:U88" si="135">E19+E22+E49+E70+E83+E87</f>
        <v>0</v>
      </c>
      <c r="F88" s="21">
        <f t="shared" si="135"/>
        <v>0</v>
      </c>
      <c r="G88" s="21">
        <f t="shared" si="135"/>
        <v>0</v>
      </c>
      <c r="H88" s="21">
        <f t="shared" si="135"/>
        <v>0</v>
      </c>
      <c r="I88" s="21">
        <f t="shared" si="135"/>
        <v>0</v>
      </c>
      <c r="J88" s="21">
        <f t="shared" ref="J88" si="136">J19+J22+J49+J70+J83+J87</f>
        <v>0</v>
      </c>
      <c r="K88" s="21">
        <f t="shared" ref="K88:L88" si="137">K19+K22+K49+K70+K83+K87</f>
        <v>0</v>
      </c>
      <c r="L88" s="21">
        <f t="shared" si="137"/>
        <v>0</v>
      </c>
      <c r="M88" s="21">
        <f t="shared" ref="M88:P88" si="138">M19+M22+M49+M70+M83+M87</f>
        <v>0</v>
      </c>
      <c r="N88" s="21">
        <f t="shared" si="138"/>
        <v>0</v>
      </c>
      <c r="O88" s="21">
        <f t="shared" si="138"/>
        <v>0</v>
      </c>
      <c r="P88" s="21">
        <f t="shared" si="138"/>
        <v>0</v>
      </c>
      <c r="Q88" s="21">
        <f t="shared" si="135"/>
        <v>0</v>
      </c>
      <c r="R88" s="21">
        <f t="shared" si="135"/>
        <v>0</v>
      </c>
      <c r="S88" s="21">
        <f t="shared" si="135"/>
        <v>0</v>
      </c>
      <c r="T88" s="21">
        <f t="shared" si="135"/>
        <v>0</v>
      </c>
      <c r="U88" s="21">
        <f t="shared" si="135"/>
        <v>0</v>
      </c>
      <c r="W88" s="136"/>
    </row>
    <row r="89" spans="1:24" x14ac:dyDescent="0.25">
      <c r="A89" s="257" t="s">
        <v>154</v>
      </c>
      <c r="B89" s="257"/>
      <c r="C89" s="257"/>
      <c r="D89" s="257"/>
      <c r="E89" s="22">
        <f t="shared" ref="E89:U89" si="139">E19+E22+E51+E57</f>
        <v>0</v>
      </c>
      <c r="F89" s="22">
        <f t="shared" si="139"/>
        <v>0</v>
      </c>
      <c r="G89" s="22">
        <f t="shared" si="139"/>
        <v>0</v>
      </c>
      <c r="H89" s="22">
        <f t="shared" si="139"/>
        <v>0</v>
      </c>
      <c r="I89" s="22">
        <f t="shared" si="139"/>
        <v>0</v>
      </c>
      <c r="J89" s="22">
        <f t="shared" ref="J89" si="140">J19+J22+J51+J57</f>
        <v>0</v>
      </c>
      <c r="K89" s="22">
        <f t="shared" ref="K89:L89" si="141">K19+K22+K51+K57</f>
        <v>0</v>
      </c>
      <c r="L89" s="22">
        <f t="shared" si="141"/>
        <v>0</v>
      </c>
      <c r="M89" s="22">
        <f t="shared" ref="M89:P89" si="142">M19+M22+M51+M57</f>
        <v>0</v>
      </c>
      <c r="N89" s="22">
        <f t="shared" si="142"/>
        <v>0</v>
      </c>
      <c r="O89" s="22">
        <f t="shared" si="142"/>
        <v>0</v>
      </c>
      <c r="P89" s="22">
        <f t="shared" si="142"/>
        <v>0</v>
      </c>
      <c r="Q89" s="22">
        <f t="shared" si="139"/>
        <v>0</v>
      </c>
      <c r="R89" s="22">
        <f t="shared" si="139"/>
        <v>0</v>
      </c>
      <c r="S89" s="22">
        <f t="shared" si="139"/>
        <v>0</v>
      </c>
      <c r="T89" s="22">
        <f t="shared" si="139"/>
        <v>0</v>
      </c>
      <c r="U89" s="22">
        <f t="shared" si="139"/>
        <v>0</v>
      </c>
    </row>
    <row r="90" spans="1:24" x14ac:dyDescent="0.25">
      <c r="A90" s="257" t="s">
        <v>686</v>
      </c>
      <c r="B90" s="257"/>
      <c r="C90" s="257"/>
      <c r="D90" s="257"/>
      <c r="E90" s="22">
        <f>E19+E51</f>
        <v>0</v>
      </c>
      <c r="F90" s="22">
        <f t="shared" ref="F90:U90" si="143">F19+F51</f>
        <v>0</v>
      </c>
      <c r="G90" s="22">
        <f t="shared" si="143"/>
        <v>0</v>
      </c>
      <c r="H90" s="22">
        <f t="shared" si="143"/>
        <v>0</v>
      </c>
      <c r="I90" s="22">
        <f t="shared" si="143"/>
        <v>0</v>
      </c>
      <c r="J90" s="22">
        <f t="shared" ref="J90" si="144">J19+J51</f>
        <v>0</v>
      </c>
      <c r="K90" s="22">
        <f t="shared" ref="K90:L90" si="145">K19+K51</f>
        <v>0</v>
      </c>
      <c r="L90" s="22">
        <f t="shared" si="145"/>
        <v>0</v>
      </c>
      <c r="M90" s="22">
        <f t="shared" ref="M90:P90" si="146">M19+M51</f>
        <v>0</v>
      </c>
      <c r="N90" s="22">
        <f t="shared" si="146"/>
        <v>0</v>
      </c>
      <c r="O90" s="22">
        <f t="shared" si="146"/>
        <v>0</v>
      </c>
      <c r="P90" s="22">
        <f t="shared" si="146"/>
        <v>0</v>
      </c>
      <c r="Q90" s="22">
        <f t="shared" si="143"/>
        <v>0</v>
      </c>
      <c r="R90" s="22">
        <f>R19+R51</f>
        <v>0</v>
      </c>
      <c r="S90" s="22">
        <f t="shared" si="143"/>
        <v>0</v>
      </c>
      <c r="T90" s="22">
        <f t="shared" si="143"/>
        <v>0</v>
      </c>
      <c r="U90" s="22">
        <f t="shared" si="143"/>
        <v>0</v>
      </c>
    </row>
    <row r="91" spans="1:24" x14ac:dyDescent="0.25">
      <c r="D91" s="13" t="s">
        <v>159</v>
      </c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12"/>
    </row>
    <row r="92" spans="1:24" x14ac:dyDescent="0.25">
      <c r="D92" s="13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14"/>
    </row>
    <row r="93" spans="1:24" x14ac:dyDescent="0.25">
      <c r="D93" s="13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9"/>
      <c r="R93" s="5"/>
      <c r="S93" s="14"/>
    </row>
    <row r="94" spans="1:24" x14ac:dyDescent="0.25">
      <c r="D94" s="13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9"/>
      <c r="R94" s="5"/>
      <c r="S94" s="14"/>
    </row>
    <row r="95" spans="1:24" x14ac:dyDescent="0.25">
      <c r="D95" s="13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9"/>
      <c r="R95" s="5"/>
      <c r="S95" s="14"/>
    </row>
    <row r="96" spans="1:24" hidden="1" x14ac:dyDescent="0.25">
      <c r="D96" s="13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9"/>
      <c r="R96" s="5"/>
      <c r="S96" s="14"/>
    </row>
    <row r="97" spans="4:18" hidden="1" x14ac:dyDescent="0.25"/>
    <row r="98" spans="4:18" hidden="1" x14ac:dyDescent="0.25">
      <c r="E98" s="127">
        <f>E88-'DG Bel'!E94</f>
        <v>0</v>
      </c>
      <c r="F98" s="127">
        <f>F88-'DG Tab'!E94</f>
        <v>0</v>
      </c>
      <c r="G98" s="127">
        <f>G88-'DG Trif'!E94</f>
        <v>0</v>
      </c>
      <c r="H98" s="127">
        <f>H88-'DG IMR'!E94</f>
        <v>0</v>
      </c>
      <c r="I98" s="127">
        <f>I88-'DG PAL'!E94</f>
        <v>0</v>
      </c>
      <c r="J98" s="127">
        <f>J88-'DG PNG'!E94</f>
        <v>0</v>
      </c>
      <c r="K98" s="127">
        <f>K88-'DG RV'!$E$94</f>
        <v>0</v>
      </c>
      <c r="L98" s="127">
        <f>L88-'DG Del'!$E$94</f>
        <v>0</v>
      </c>
      <c r="M98" s="127">
        <f>M88-'DG Iac'!$E$94</f>
        <v>0</v>
      </c>
      <c r="N98" s="127">
        <f>N88-'DG Rad'!$E$94</f>
        <v>0</v>
      </c>
      <c r="O98" s="127">
        <f>O88-'DG Tar'!$E$94</f>
        <v>0</v>
      </c>
      <c r="P98" s="127">
        <f>P88-'DG Mir'!$E$94</f>
        <v>0</v>
      </c>
      <c r="Q98" s="127">
        <f>Q88-('DG Bel'!E94+'DG Tab'!E94+'DG Trif'!E94+'DG IMR'!E94+'DG PAL'!E94+'DG PNG'!E94+'DG RV'!E94+'DG Del'!E94+'DG Iac'!E94+'DG Rad'!E94+'DG Tar'!E94+'DG Mir'!E94)</f>
        <v>0</v>
      </c>
      <c r="R98" s="1" t="s">
        <v>160</v>
      </c>
    </row>
    <row r="99" spans="4:18" hidden="1" x14ac:dyDescent="0.25"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>
        <f>Q89-('DG Bel'!E95+'DG Tab'!E95+'DG Trif'!E95+'DG IMR'!E95+'DG PAL'!E95+'DG PNG'!E95+'DG RV'!E95+'DG Del'!E95+'DG Iac'!E95+'DG Rad'!E95+'DG Tar'!E95+'DG Mir'!E95)</f>
        <v>0</v>
      </c>
      <c r="R99" s="1" t="s">
        <v>161</v>
      </c>
    </row>
    <row r="100" spans="4:18" hidden="1" x14ac:dyDescent="0.25">
      <c r="Q100" s="127">
        <f>Q90-('DG Bel'!E96+'DG Tab'!E96+'DG Trif'!E96+'DG IMR'!E96+'DG PAL'!E96+'DG PNG'!E96+'DG RV'!E96+'DG Del'!E96+'DG Iac'!E96+'DG Rad'!E96+'DG Tar'!E96+'DG Mir'!E96)</f>
        <v>0</v>
      </c>
      <c r="R100" s="1" t="s">
        <v>162</v>
      </c>
    </row>
    <row r="101" spans="4:18" hidden="1" x14ac:dyDescent="0.25">
      <c r="D101" s="1" t="s">
        <v>163</v>
      </c>
      <c r="E101" s="54">
        <f t="shared" ref="E101:Q101" si="147">E19+E51</f>
        <v>0</v>
      </c>
      <c r="F101" s="54">
        <f t="shared" si="147"/>
        <v>0</v>
      </c>
      <c r="G101" s="54">
        <f t="shared" si="147"/>
        <v>0</v>
      </c>
      <c r="H101" s="54">
        <f t="shared" si="147"/>
        <v>0</v>
      </c>
      <c r="I101" s="54">
        <f t="shared" si="147"/>
        <v>0</v>
      </c>
      <c r="J101" s="54">
        <f t="shared" si="147"/>
        <v>0</v>
      </c>
      <c r="K101" s="54">
        <f t="shared" si="147"/>
        <v>0</v>
      </c>
      <c r="L101" s="54">
        <f t="shared" si="147"/>
        <v>0</v>
      </c>
      <c r="M101" s="54">
        <f t="shared" si="147"/>
        <v>0</v>
      </c>
      <c r="N101" s="54">
        <f t="shared" si="147"/>
        <v>0</v>
      </c>
      <c r="O101" s="54">
        <f t="shared" si="147"/>
        <v>0</v>
      </c>
      <c r="P101" s="54">
        <f t="shared" si="147"/>
        <v>0</v>
      </c>
      <c r="Q101" s="54">
        <f t="shared" si="147"/>
        <v>0</v>
      </c>
    </row>
    <row r="102" spans="4:18" hidden="1" x14ac:dyDescent="0.25">
      <c r="D102" s="1" t="s">
        <v>164</v>
      </c>
      <c r="E102" s="54">
        <f t="shared" ref="E102:Q102" si="148">E57</f>
        <v>0</v>
      </c>
      <c r="F102" s="54">
        <f t="shared" si="148"/>
        <v>0</v>
      </c>
      <c r="G102" s="54">
        <f t="shared" si="148"/>
        <v>0</v>
      </c>
      <c r="H102" s="54">
        <f t="shared" si="148"/>
        <v>0</v>
      </c>
      <c r="I102" s="54">
        <f t="shared" si="148"/>
        <v>0</v>
      </c>
      <c r="J102" s="54">
        <f t="shared" si="148"/>
        <v>0</v>
      </c>
      <c r="K102" s="54">
        <f t="shared" si="148"/>
        <v>0</v>
      </c>
      <c r="L102" s="54">
        <f t="shared" si="148"/>
        <v>0</v>
      </c>
      <c r="M102" s="54">
        <f t="shared" si="148"/>
        <v>0</v>
      </c>
      <c r="N102" s="54">
        <f t="shared" si="148"/>
        <v>0</v>
      </c>
      <c r="O102" s="54">
        <f t="shared" si="148"/>
        <v>0</v>
      </c>
      <c r="P102" s="54">
        <f t="shared" si="148"/>
        <v>0</v>
      </c>
      <c r="Q102" s="54">
        <f t="shared" si="148"/>
        <v>0</v>
      </c>
    </row>
    <row r="103" spans="4:18" hidden="1" x14ac:dyDescent="0.25">
      <c r="D103" s="1" t="s">
        <v>165</v>
      </c>
      <c r="E103" s="54">
        <f t="shared" ref="E103:Q103" si="149">E62</f>
        <v>0</v>
      </c>
      <c r="F103" s="54">
        <f t="shared" si="149"/>
        <v>0</v>
      </c>
      <c r="G103" s="54">
        <f t="shared" si="149"/>
        <v>0</v>
      </c>
      <c r="H103" s="54">
        <f t="shared" si="149"/>
        <v>0</v>
      </c>
      <c r="I103" s="54">
        <f t="shared" si="149"/>
        <v>0</v>
      </c>
      <c r="J103" s="54">
        <f t="shared" si="149"/>
        <v>0</v>
      </c>
      <c r="K103" s="54">
        <f t="shared" si="149"/>
        <v>0</v>
      </c>
      <c r="L103" s="54">
        <f t="shared" si="149"/>
        <v>0</v>
      </c>
      <c r="M103" s="54">
        <f t="shared" si="149"/>
        <v>0</v>
      </c>
      <c r="N103" s="54">
        <f t="shared" si="149"/>
        <v>0</v>
      </c>
      <c r="O103" s="54">
        <f t="shared" si="149"/>
        <v>0</v>
      </c>
      <c r="P103" s="54">
        <f t="shared" si="149"/>
        <v>0</v>
      </c>
      <c r="Q103" s="54">
        <f t="shared" si="149"/>
        <v>0</v>
      </c>
    </row>
    <row r="104" spans="4:18" hidden="1" x14ac:dyDescent="0.25">
      <c r="D104" s="1" t="s">
        <v>166</v>
      </c>
      <c r="E104" s="54">
        <f t="shared" ref="E104" si="150">SUM(E101:E103)</f>
        <v>0</v>
      </c>
      <c r="F104" s="54">
        <f t="shared" ref="F104:P104" si="151">SUM(F101:F103)</f>
        <v>0</v>
      </c>
      <c r="G104" s="54">
        <f t="shared" si="151"/>
        <v>0</v>
      </c>
      <c r="H104" s="54">
        <f t="shared" si="151"/>
        <v>0</v>
      </c>
      <c r="I104" s="54">
        <f t="shared" si="151"/>
        <v>0</v>
      </c>
      <c r="J104" s="54">
        <f t="shared" ref="J104" si="152">SUM(J101:J103)</f>
        <v>0</v>
      </c>
      <c r="K104" s="54">
        <f t="shared" ref="K104:N104" si="153">SUM(K101:K103)</f>
        <v>0</v>
      </c>
      <c r="L104" s="54">
        <f t="shared" si="153"/>
        <v>0</v>
      </c>
      <c r="M104" s="54">
        <f t="shared" si="153"/>
        <v>0</v>
      </c>
      <c r="N104" s="54">
        <f t="shared" si="153"/>
        <v>0</v>
      </c>
      <c r="O104" s="54">
        <f t="shared" si="151"/>
        <v>0</v>
      </c>
      <c r="P104" s="54">
        <f t="shared" si="151"/>
        <v>0</v>
      </c>
      <c r="Q104" s="54">
        <f t="shared" ref="Q104" si="154">SUM(Q101:Q103)</f>
        <v>0</v>
      </c>
    </row>
    <row r="105" spans="4:18" hidden="1" x14ac:dyDescent="0.25"/>
    <row r="106" spans="4:18" hidden="1" x14ac:dyDescent="0.25">
      <c r="D106" s="1" t="s">
        <v>167</v>
      </c>
      <c r="E106" s="54">
        <f>E89-'(1)F1 Bel'!D131</f>
        <v>0</v>
      </c>
      <c r="F106" s="54">
        <f>F89-'(2)F1 Tab'!D90</f>
        <v>0</v>
      </c>
      <c r="G106" s="54">
        <f>G89-'(3)F1 Trif'!D129</f>
        <v>0</v>
      </c>
      <c r="H106" s="54">
        <f>H89-'(4)F1 IMR'!D132</f>
        <v>0</v>
      </c>
      <c r="I106" s="54">
        <f>I89-'(5)F1 PAL'!D130</f>
        <v>0</v>
      </c>
      <c r="J106" s="54">
        <f>J89-'(6)F1 PNG'!D132</f>
        <v>0</v>
      </c>
      <c r="K106" s="54">
        <f>K89-'(7)F1 RV'!D131</f>
        <v>0</v>
      </c>
      <c r="L106" s="54">
        <f>L89-'(8)F1 Del'!D138</f>
        <v>0</v>
      </c>
      <c r="M106" s="54">
        <f>M89-'(9)F1 Iac'!D131</f>
        <v>0</v>
      </c>
      <c r="N106" s="54">
        <f>N89-'(10)F1 Rad'!D118</f>
        <v>0</v>
      </c>
      <c r="O106" s="54">
        <f>O89-'(11)F1 Tar'!D140</f>
        <v>0</v>
      </c>
      <c r="P106" s="54">
        <f>P89-'(12)F1 Mir'!D134</f>
        <v>0</v>
      </c>
      <c r="Q106" s="54"/>
    </row>
    <row r="107" spans="4:18" hidden="1" x14ac:dyDescent="0.25"/>
    <row r="108" spans="4:18" hidden="1" x14ac:dyDescent="0.25"/>
    <row r="109" spans="4:18" hidden="1" x14ac:dyDescent="0.25"/>
    <row r="110" spans="4:18" hidden="1" x14ac:dyDescent="0.25"/>
    <row r="111" spans="4:18" hidden="1" x14ac:dyDescent="0.25">
      <c r="Q111" s="54"/>
    </row>
    <row r="112" spans="4:18" hidden="1" x14ac:dyDescent="0.25"/>
    <row r="113" hidden="1" x14ac:dyDescent="0.25"/>
  </sheetData>
  <mergeCells count="71">
    <mergeCell ref="A90:D90"/>
    <mergeCell ref="C87:D87"/>
    <mergeCell ref="A88:D88"/>
    <mergeCell ref="A89:D89"/>
    <mergeCell ref="C79:D79"/>
    <mergeCell ref="C80:D80"/>
    <mergeCell ref="C82:D82"/>
    <mergeCell ref="C83:D83"/>
    <mergeCell ref="C85:D85"/>
    <mergeCell ref="C86:D86"/>
    <mergeCell ref="C78:D78"/>
    <mergeCell ref="C51:D51"/>
    <mergeCell ref="C57:D57"/>
    <mergeCell ref="C67:D67"/>
    <mergeCell ref="C68:D68"/>
    <mergeCell ref="C69:D69"/>
    <mergeCell ref="C70:D70"/>
    <mergeCell ref="B71:D71"/>
    <mergeCell ref="C72:D72"/>
    <mergeCell ref="C73:D73"/>
    <mergeCell ref="C76:D76"/>
    <mergeCell ref="C77:D77"/>
    <mergeCell ref="C49:D49"/>
    <mergeCell ref="B38:D38"/>
    <mergeCell ref="B39:D39"/>
    <mergeCell ref="B40:D40"/>
    <mergeCell ref="B43:D43"/>
    <mergeCell ref="B44:D44"/>
    <mergeCell ref="B45:D45"/>
    <mergeCell ref="B46:D46"/>
    <mergeCell ref="B47:D47"/>
    <mergeCell ref="B48:D48"/>
    <mergeCell ref="C41:D41"/>
    <mergeCell ref="C42:D42"/>
    <mergeCell ref="B37:D37"/>
    <mergeCell ref="C26:D26"/>
    <mergeCell ref="C27:D27"/>
    <mergeCell ref="C28:D28"/>
    <mergeCell ref="C29:D29"/>
    <mergeCell ref="C30:D30"/>
    <mergeCell ref="B31:D31"/>
    <mergeCell ref="B32:D32"/>
    <mergeCell ref="B33:D33"/>
    <mergeCell ref="B34:D34"/>
    <mergeCell ref="B35:D35"/>
    <mergeCell ref="B36:D36"/>
    <mergeCell ref="C25:D25"/>
    <mergeCell ref="B12:D12"/>
    <mergeCell ref="C13:D13"/>
    <mergeCell ref="B14:D14"/>
    <mergeCell ref="C15:D15"/>
    <mergeCell ref="C16:D16"/>
    <mergeCell ref="C19:D19"/>
    <mergeCell ref="B20:D20"/>
    <mergeCell ref="C21:D21"/>
    <mergeCell ref="C22:D22"/>
    <mergeCell ref="B23:D23"/>
    <mergeCell ref="C24:D24"/>
    <mergeCell ref="A7:C7"/>
    <mergeCell ref="T7:U7"/>
    <mergeCell ref="B8:D11"/>
    <mergeCell ref="E8:R10"/>
    <mergeCell ref="S8:S10"/>
    <mergeCell ref="T8:U9"/>
    <mergeCell ref="T10:U10"/>
    <mergeCell ref="C6:D6"/>
    <mergeCell ref="R1:S1"/>
    <mergeCell ref="A2:C2"/>
    <mergeCell ref="A3:U3"/>
    <mergeCell ref="A4:U4"/>
    <mergeCell ref="A5:U5"/>
  </mergeCells>
  <pageMargins left="0.78740157480314965" right="0.59055118110236227" top="0.59055118110236227" bottom="0.78740157480314965" header="0" footer="0"/>
  <pageSetup paperSize="9" scale="73" orientation="portrait" r:id="rId1"/>
  <ignoredErrors>
    <ignoredError sqref="Q39:U39 Q31 R75:T75 Q62:U62 Q57:U57 R31:U31 M16:M20 M22:M27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C7CE-8235-4919-8244-6335F9905D8C}">
  <dimension ref="A1:H134"/>
  <sheetViews>
    <sheetView topLeftCell="B123" zoomScale="180" zoomScaleNormal="180" zoomScaleSheetLayoutView="100" workbookViewId="0">
      <selection activeCell="C125" sqref="C125"/>
    </sheetView>
  </sheetViews>
  <sheetFormatPr defaultRowHeight="12" x14ac:dyDescent="0.25"/>
  <cols>
    <col min="1" max="1" width="6.09765625" style="81" customWidth="1"/>
    <col min="2" max="2" width="60.3984375" style="67" customWidth="1"/>
    <col min="3" max="3" width="11.09765625" style="67" customWidth="1"/>
    <col min="4" max="4" width="10.69921875" style="67" customWidth="1"/>
    <col min="5" max="5" width="10.09765625" style="67" customWidth="1"/>
    <col min="6" max="6" width="8.69921875" style="67"/>
    <col min="7" max="7" width="10.8984375" style="67" customWidth="1"/>
    <col min="8" max="8" width="10.199218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DG!D80</f>
        <v>Statia 110/20 kV PAL Neamt, jud. NT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C14+C15+C39+C42</f>
        <v>0</v>
      </c>
      <c r="D13" s="102">
        <f>D14+D15+D39+D42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SUM(C17:C38)</f>
        <v>0</v>
      </c>
      <c r="D15" s="68">
        <f>SUM(D17:D38)</f>
        <v>0</v>
      </c>
    </row>
    <row r="16" spans="1:5" x14ac:dyDescent="0.25">
      <c r="A16" s="109" t="s">
        <v>35</v>
      </c>
      <c r="B16" s="70" t="str">
        <f>DG!D21</f>
        <v>Statia 110/20 kV PAL Neamt, jud. NT</v>
      </c>
      <c r="C16" s="66"/>
      <c r="D16" s="66"/>
    </row>
    <row r="17" spans="1:8" x14ac:dyDescent="0.25">
      <c r="A17" s="174" t="s">
        <v>533</v>
      </c>
      <c r="B17" s="147" t="s">
        <v>958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C17+C18+C19+C20+C21+C24+C26+C28+C29+C31</f>
        <v>0</v>
      </c>
    </row>
    <row r="18" spans="1:8" ht="11.1" customHeight="1" x14ac:dyDescent="0.25">
      <c r="A18" s="174" t="s">
        <v>534</v>
      </c>
      <c r="B18" s="147" t="s">
        <v>959</v>
      </c>
      <c r="C18" s="148">
        <v>0</v>
      </c>
      <c r="D18" s="149">
        <f t="shared" ref="D18:D28" si="0">C18</f>
        <v>0</v>
      </c>
      <c r="E18" s="137" t="s">
        <v>677</v>
      </c>
      <c r="G18" s="138" t="s">
        <v>678</v>
      </c>
      <c r="H18" s="164">
        <f>C36+C37</f>
        <v>0</v>
      </c>
    </row>
    <row r="19" spans="1:8" ht="11.1" customHeight="1" x14ac:dyDescent="0.25">
      <c r="A19" s="174" t="s">
        <v>535</v>
      </c>
      <c r="B19" s="147" t="s">
        <v>960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C22+C23+C25+C27+C30+C32+C33</f>
        <v>0</v>
      </c>
    </row>
    <row r="20" spans="1:8" ht="11.1" customHeight="1" x14ac:dyDescent="0.25">
      <c r="A20" s="174" t="s">
        <v>536</v>
      </c>
      <c r="B20" s="147" t="s">
        <v>961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64">
        <f>C34+C35+C38</f>
        <v>0</v>
      </c>
    </row>
    <row r="21" spans="1:8" ht="11.1" customHeight="1" x14ac:dyDescent="0.25">
      <c r="A21" s="174" t="s">
        <v>537</v>
      </c>
      <c r="B21" s="147" t="s">
        <v>962</v>
      </c>
      <c r="C21" s="148">
        <v>0</v>
      </c>
      <c r="D21" s="149">
        <f t="shared" si="0"/>
        <v>0</v>
      </c>
      <c r="E21" s="137" t="s">
        <v>677</v>
      </c>
    </row>
    <row r="22" spans="1:8" ht="11.1" customHeight="1" x14ac:dyDescent="0.25">
      <c r="A22" s="175" t="s">
        <v>538</v>
      </c>
      <c r="B22" s="155" t="s">
        <v>963</v>
      </c>
      <c r="C22" s="156">
        <v>0</v>
      </c>
      <c r="D22" s="157">
        <f t="shared" si="0"/>
        <v>0</v>
      </c>
      <c r="E22" s="139" t="s">
        <v>679</v>
      </c>
      <c r="H22" s="169">
        <f>C15-H17-H18-H19-H20</f>
        <v>0</v>
      </c>
    </row>
    <row r="23" spans="1:8" ht="11.1" customHeight="1" x14ac:dyDescent="0.25">
      <c r="A23" s="175" t="s">
        <v>539</v>
      </c>
      <c r="B23" s="155" t="s">
        <v>964</v>
      </c>
      <c r="C23" s="156">
        <v>0</v>
      </c>
      <c r="D23" s="157">
        <f t="shared" si="0"/>
        <v>0</v>
      </c>
      <c r="E23" s="139" t="s">
        <v>679</v>
      </c>
    </row>
    <row r="24" spans="1:8" ht="11.1" customHeight="1" x14ac:dyDescent="0.25">
      <c r="A24" s="174" t="s">
        <v>540</v>
      </c>
      <c r="B24" s="147" t="s">
        <v>965</v>
      </c>
      <c r="C24" s="148">
        <v>0</v>
      </c>
      <c r="D24" s="149">
        <f t="shared" si="0"/>
        <v>0</v>
      </c>
      <c r="E24" s="137" t="s">
        <v>677</v>
      </c>
    </row>
    <row r="25" spans="1:8" ht="11.1" customHeight="1" x14ac:dyDescent="0.25">
      <c r="A25" s="175" t="s">
        <v>541</v>
      </c>
      <c r="B25" s="155" t="s">
        <v>347</v>
      </c>
      <c r="C25" s="156">
        <v>0</v>
      </c>
      <c r="D25" s="157">
        <f t="shared" si="0"/>
        <v>0</v>
      </c>
      <c r="E25" s="139" t="s">
        <v>679</v>
      </c>
    </row>
    <row r="26" spans="1:8" ht="11.1" customHeight="1" x14ac:dyDescent="0.25">
      <c r="A26" s="174" t="s">
        <v>542</v>
      </c>
      <c r="B26" s="147" t="s">
        <v>881</v>
      </c>
      <c r="C26" s="148">
        <v>0</v>
      </c>
      <c r="D26" s="149">
        <f t="shared" si="0"/>
        <v>0</v>
      </c>
      <c r="E26" s="137" t="s">
        <v>677</v>
      </c>
    </row>
    <row r="27" spans="1:8" ht="11.1" customHeight="1" x14ac:dyDescent="0.25">
      <c r="A27" s="175" t="s">
        <v>974</v>
      </c>
      <c r="B27" s="155" t="s">
        <v>882</v>
      </c>
      <c r="C27" s="156">
        <v>0</v>
      </c>
      <c r="D27" s="157">
        <f t="shared" si="0"/>
        <v>0</v>
      </c>
      <c r="E27" s="139" t="s">
        <v>679</v>
      </c>
    </row>
    <row r="28" spans="1:8" ht="11.1" customHeight="1" x14ac:dyDescent="0.25">
      <c r="A28" s="174" t="s">
        <v>975</v>
      </c>
      <c r="B28" s="147" t="s">
        <v>349</v>
      </c>
      <c r="C28" s="148">
        <v>0</v>
      </c>
      <c r="D28" s="149">
        <f t="shared" si="0"/>
        <v>0</v>
      </c>
      <c r="E28" s="137" t="s">
        <v>677</v>
      </c>
    </row>
    <row r="29" spans="1:8" ht="11.1" customHeight="1" x14ac:dyDescent="0.25">
      <c r="A29" s="174" t="s">
        <v>976</v>
      </c>
      <c r="B29" s="147" t="s">
        <v>350</v>
      </c>
      <c r="C29" s="148">
        <v>0</v>
      </c>
      <c r="D29" s="149">
        <f t="shared" ref="D29:D39" si="1">C29</f>
        <v>0</v>
      </c>
      <c r="E29" s="137" t="s">
        <v>677</v>
      </c>
    </row>
    <row r="30" spans="1:8" ht="11.1" customHeight="1" x14ac:dyDescent="0.25">
      <c r="A30" s="154" t="s">
        <v>1806</v>
      </c>
      <c r="B30" s="155" t="s">
        <v>989</v>
      </c>
      <c r="C30" s="156">
        <v>0</v>
      </c>
      <c r="D30" s="157">
        <f t="shared" si="1"/>
        <v>0</v>
      </c>
      <c r="E30" s="139" t="s">
        <v>679</v>
      </c>
    </row>
    <row r="31" spans="1:8" ht="11.1" customHeight="1" x14ac:dyDescent="0.25">
      <c r="A31" s="146" t="s">
        <v>1807</v>
      </c>
      <c r="B31" s="147" t="s">
        <v>990</v>
      </c>
      <c r="C31" s="148">
        <v>0</v>
      </c>
      <c r="D31" s="149">
        <f t="shared" si="1"/>
        <v>0</v>
      </c>
      <c r="E31" s="137" t="s">
        <v>677</v>
      </c>
    </row>
    <row r="32" spans="1:8" ht="11.1" customHeight="1" x14ac:dyDescent="0.25">
      <c r="A32" s="154" t="s">
        <v>1808</v>
      </c>
      <c r="B32" s="155" t="s">
        <v>991</v>
      </c>
      <c r="C32" s="156">
        <v>0</v>
      </c>
      <c r="D32" s="157">
        <f t="shared" si="1"/>
        <v>0</v>
      </c>
      <c r="E32" s="139" t="s">
        <v>679</v>
      </c>
    </row>
    <row r="33" spans="1:5" ht="11.1" customHeight="1" x14ac:dyDescent="0.25">
      <c r="A33" s="154" t="s">
        <v>1809</v>
      </c>
      <c r="B33" s="155" t="s">
        <v>992</v>
      </c>
      <c r="C33" s="156">
        <v>0</v>
      </c>
      <c r="D33" s="157">
        <f t="shared" si="1"/>
        <v>0</v>
      </c>
      <c r="E33" s="139" t="s">
        <v>679</v>
      </c>
    </row>
    <row r="34" spans="1:5" ht="11.1" customHeight="1" x14ac:dyDescent="0.25">
      <c r="A34" s="190" t="s">
        <v>1810</v>
      </c>
      <c r="B34" s="191" t="s">
        <v>363</v>
      </c>
      <c r="C34" s="188">
        <v>0</v>
      </c>
      <c r="D34" s="189">
        <f t="shared" si="1"/>
        <v>0</v>
      </c>
      <c r="E34" s="140" t="s">
        <v>680</v>
      </c>
    </row>
    <row r="35" spans="1:5" ht="11.1" customHeight="1" x14ac:dyDescent="0.25">
      <c r="A35" s="190" t="s">
        <v>1811</v>
      </c>
      <c r="B35" s="191" t="s">
        <v>993</v>
      </c>
      <c r="C35" s="188">
        <v>0</v>
      </c>
      <c r="D35" s="189">
        <f t="shared" si="1"/>
        <v>0</v>
      </c>
      <c r="E35" s="140" t="s">
        <v>680</v>
      </c>
    </row>
    <row r="36" spans="1:5" ht="11.1" customHeight="1" x14ac:dyDescent="0.25">
      <c r="A36" s="150" t="s">
        <v>1812</v>
      </c>
      <c r="B36" s="151" t="s">
        <v>994</v>
      </c>
      <c r="C36" s="152">
        <v>0</v>
      </c>
      <c r="D36" s="153">
        <f t="shared" si="1"/>
        <v>0</v>
      </c>
      <c r="E36" s="138" t="s">
        <v>678</v>
      </c>
    </row>
    <row r="37" spans="1:5" ht="11.1" customHeight="1" x14ac:dyDescent="0.25">
      <c r="A37" s="150" t="s">
        <v>1813</v>
      </c>
      <c r="B37" s="151" t="s">
        <v>897</v>
      </c>
      <c r="C37" s="152">
        <v>0</v>
      </c>
      <c r="D37" s="153">
        <f t="shared" si="1"/>
        <v>0</v>
      </c>
      <c r="E37" s="138" t="s">
        <v>678</v>
      </c>
    </row>
    <row r="38" spans="1:5" x14ac:dyDescent="0.25">
      <c r="A38" s="190" t="s">
        <v>1814</v>
      </c>
      <c r="B38" s="191" t="s">
        <v>995</v>
      </c>
      <c r="C38" s="188">
        <v>0</v>
      </c>
      <c r="D38" s="189">
        <f t="shared" si="1"/>
        <v>0</v>
      </c>
      <c r="E38" s="140" t="s">
        <v>680</v>
      </c>
    </row>
    <row r="39" spans="1:5" x14ac:dyDescent="0.25">
      <c r="A39" s="94" t="s">
        <v>39</v>
      </c>
      <c r="B39" s="95" t="s">
        <v>185</v>
      </c>
      <c r="C39" s="96">
        <f>C41</f>
        <v>0</v>
      </c>
      <c r="D39" s="97">
        <f t="shared" si="1"/>
        <v>0</v>
      </c>
    </row>
    <row r="40" spans="1:5" ht="11.1" customHeight="1" x14ac:dyDescent="0.25">
      <c r="A40" s="109" t="s">
        <v>46</v>
      </c>
      <c r="B40" s="75" t="str">
        <f>DG!D35</f>
        <v>Statia 110/20 kV P.N. Gara, jud. NT</v>
      </c>
      <c r="C40" s="89"/>
      <c r="D40" s="66"/>
    </row>
    <row r="41" spans="1:5" s="76" customFormat="1" ht="11.1" customHeight="1" x14ac:dyDescent="0.25">
      <c r="A41" s="109" t="s">
        <v>977</v>
      </c>
      <c r="B41" s="82" t="s">
        <v>186</v>
      </c>
      <c r="C41" s="118">
        <v>0</v>
      </c>
      <c r="D41" s="66">
        <f>C41</f>
        <v>0</v>
      </c>
    </row>
    <row r="42" spans="1:5" ht="11.1" customHeight="1" x14ac:dyDescent="0.25">
      <c r="A42" s="94" t="s">
        <v>187</v>
      </c>
      <c r="B42" s="98" t="s">
        <v>48</v>
      </c>
      <c r="C42" s="96">
        <v>0</v>
      </c>
      <c r="D42" s="71">
        <v>0</v>
      </c>
    </row>
    <row r="43" spans="1:5" x14ac:dyDescent="0.25">
      <c r="A43" s="103" t="s">
        <v>188</v>
      </c>
      <c r="B43" s="104" t="s">
        <v>189</v>
      </c>
      <c r="C43" s="105">
        <v>0</v>
      </c>
      <c r="D43" s="102">
        <v>0</v>
      </c>
    </row>
    <row r="44" spans="1:5" x14ac:dyDescent="0.25">
      <c r="A44" s="103" t="s">
        <v>190</v>
      </c>
      <c r="B44" s="104" t="s">
        <v>69</v>
      </c>
      <c r="C44" s="106">
        <f>SUM(C45:C50)</f>
        <v>0</v>
      </c>
      <c r="D44" s="106">
        <f>SUM(D45:D50)</f>
        <v>0</v>
      </c>
    </row>
    <row r="45" spans="1:5" ht="12" customHeight="1" x14ac:dyDescent="0.25">
      <c r="A45" s="74" t="s">
        <v>191</v>
      </c>
      <c r="B45" s="72" t="s">
        <v>192</v>
      </c>
      <c r="C45" s="73">
        <v>0</v>
      </c>
      <c r="D45" s="73">
        <v>0</v>
      </c>
    </row>
    <row r="46" spans="1:5" x14ac:dyDescent="0.25">
      <c r="A46" s="74" t="s">
        <v>193</v>
      </c>
      <c r="B46" s="72" t="s">
        <v>194</v>
      </c>
      <c r="C46" s="73">
        <v>0</v>
      </c>
      <c r="D46" s="73">
        <v>0</v>
      </c>
    </row>
    <row r="47" spans="1:5" x14ac:dyDescent="0.25">
      <c r="A47" s="74" t="s">
        <v>195</v>
      </c>
      <c r="B47" s="83" t="s">
        <v>196</v>
      </c>
      <c r="C47" s="73">
        <v>0</v>
      </c>
      <c r="D47" s="73">
        <v>0</v>
      </c>
    </row>
    <row r="48" spans="1:5" ht="12" customHeight="1" x14ac:dyDescent="0.25">
      <c r="A48" s="74" t="s">
        <v>197</v>
      </c>
      <c r="B48" s="83" t="s">
        <v>198</v>
      </c>
      <c r="C48" s="73">
        <v>0</v>
      </c>
      <c r="D48" s="73">
        <v>0</v>
      </c>
    </row>
    <row r="49" spans="1:8" ht="12" customHeight="1" x14ac:dyDescent="0.25">
      <c r="A49" s="74" t="s">
        <v>199</v>
      </c>
      <c r="B49" s="83" t="s">
        <v>200</v>
      </c>
      <c r="C49" s="73">
        <v>0</v>
      </c>
      <c r="D49" s="73">
        <v>0</v>
      </c>
    </row>
    <row r="50" spans="1:8" x14ac:dyDescent="0.25">
      <c r="A50" s="74" t="s">
        <v>201</v>
      </c>
      <c r="B50" s="72" t="s">
        <v>202</v>
      </c>
      <c r="C50" s="73">
        <v>0</v>
      </c>
      <c r="D50" s="73">
        <v>0</v>
      </c>
    </row>
    <row r="51" spans="1:8" ht="10.199999999999999" customHeight="1" x14ac:dyDescent="0.25">
      <c r="A51" s="103" t="s">
        <v>203</v>
      </c>
      <c r="B51" s="104" t="s">
        <v>204</v>
      </c>
      <c r="C51" s="105">
        <f>C52+C101+C113</f>
        <v>0</v>
      </c>
      <c r="D51" s="105">
        <f>D52+D101+D113</f>
        <v>0</v>
      </c>
    </row>
    <row r="52" spans="1:8" x14ac:dyDescent="0.25">
      <c r="A52" s="94" t="s">
        <v>92</v>
      </c>
      <c r="B52" s="99" t="s">
        <v>157</v>
      </c>
      <c r="C52" s="68">
        <f>SUM(C54:C100)</f>
        <v>0</v>
      </c>
      <c r="D52" s="68">
        <f>SUM(D54:D100)</f>
        <v>0</v>
      </c>
    </row>
    <row r="53" spans="1:8" x14ac:dyDescent="0.25">
      <c r="A53" s="87" t="s">
        <v>99</v>
      </c>
      <c r="B53" s="79" t="str">
        <f>DG!D81</f>
        <v>Statia 110/20 kV P.N. Gara, jud. NT</v>
      </c>
      <c r="C53" s="80"/>
      <c r="D53" s="90"/>
    </row>
    <row r="54" spans="1:8" ht="12" customHeight="1" x14ac:dyDescent="0.25">
      <c r="A54" s="146" t="s">
        <v>543</v>
      </c>
      <c r="B54" s="147" t="s">
        <v>317</v>
      </c>
      <c r="C54" s="148">
        <v>0</v>
      </c>
      <c r="D54" s="149">
        <f t="shared" ref="D54:D100" si="2">C54</f>
        <v>0</v>
      </c>
      <c r="E54" s="137" t="s">
        <v>677</v>
      </c>
      <c r="G54" s="137" t="s">
        <v>677</v>
      </c>
      <c r="H54" s="133">
        <f>C54+C56+C57+C58+C59+C60+C62+C63+C70+C71+C75</f>
        <v>0</v>
      </c>
    </row>
    <row r="55" spans="1:8" ht="12" customHeight="1" x14ac:dyDescent="0.25">
      <c r="A55" s="154" t="s">
        <v>544</v>
      </c>
      <c r="B55" s="155" t="s">
        <v>996</v>
      </c>
      <c r="C55" s="156">
        <v>0</v>
      </c>
      <c r="D55" s="157">
        <f t="shared" si="2"/>
        <v>0</v>
      </c>
      <c r="E55" s="139" t="s">
        <v>679</v>
      </c>
      <c r="G55" s="138" t="s">
        <v>678</v>
      </c>
      <c r="H55" s="133">
        <f>C76+C80+C81+C85+C86</f>
        <v>0</v>
      </c>
    </row>
    <row r="56" spans="1:8" ht="12" customHeight="1" x14ac:dyDescent="0.25">
      <c r="A56" s="146" t="s">
        <v>545</v>
      </c>
      <c r="B56" s="147" t="s">
        <v>997</v>
      </c>
      <c r="C56" s="148">
        <v>0</v>
      </c>
      <c r="D56" s="149">
        <f t="shared" si="2"/>
        <v>0</v>
      </c>
      <c r="E56" s="137" t="s">
        <v>677</v>
      </c>
      <c r="G56" s="139" t="s">
        <v>679</v>
      </c>
      <c r="H56" s="133">
        <f>C55+C64+C65+C77+C78+C79+C87+C88</f>
        <v>0</v>
      </c>
    </row>
    <row r="57" spans="1:8" ht="12" customHeight="1" x14ac:dyDescent="0.25">
      <c r="A57" s="146" t="s">
        <v>546</v>
      </c>
      <c r="B57" s="147" t="s">
        <v>998</v>
      </c>
      <c r="C57" s="148">
        <v>0</v>
      </c>
      <c r="D57" s="149">
        <f t="shared" si="2"/>
        <v>0</v>
      </c>
      <c r="E57" s="137" t="s">
        <v>677</v>
      </c>
      <c r="G57" s="140" t="s">
        <v>680</v>
      </c>
      <c r="H57" s="133">
        <f>C61+C66+C67+C68+C69+C72+C73+C74+C82+C83+C84+C89+C90+C91+C92+C93+C94+C95+C96+C97+C98+C100</f>
        <v>0</v>
      </c>
    </row>
    <row r="58" spans="1:8" ht="12" customHeight="1" x14ac:dyDescent="0.25">
      <c r="A58" s="146" t="s">
        <v>547</v>
      </c>
      <c r="B58" s="147" t="s">
        <v>999</v>
      </c>
      <c r="C58" s="148">
        <v>0</v>
      </c>
      <c r="D58" s="149">
        <f t="shared" si="2"/>
        <v>0</v>
      </c>
      <c r="E58" s="137" t="s">
        <v>677</v>
      </c>
      <c r="G58" s="141" t="s">
        <v>681</v>
      </c>
      <c r="H58" s="133">
        <f>C99</f>
        <v>0</v>
      </c>
    </row>
    <row r="59" spans="1:8" ht="12" customHeight="1" x14ac:dyDescent="0.25">
      <c r="A59" s="146" t="s">
        <v>548</v>
      </c>
      <c r="B59" s="147" t="s">
        <v>1000</v>
      </c>
      <c r="C59" s="148">
        <v>0</v>
      </c>
      <c r="D59" s="149">
        <f t="shared" si="2"/>
        <v>0</v>
      </c>
      <c r="E59" s="137" t="s">
        <v>677</v>
      </c>
    </row>
    <row r="60" spans="1:8" ht="12" customHeight="1" x14ac:dyDescent="0.25">
      <c r="A60" s="146" t="s">
        <v>549</v>
      </c>
      <c r="B60" s="147" t="s">
        <v>1001</v>
      </c>
      <c r="C60" s="148">
        <v>0</v>
      </c>
      <c r="D60" s="149">
        <f t="shared" si="2"/>
        <v>0</v>
      </c>
      <c r="E60" s="137" t="s">
        <v>677</v>
      </c>
      <c r="H60" s="169">
        <f>C52-H54-H55-H56-H57-H58</f>
        <v>0</v>
      </c>
    </row>
    <row r="61" spans="1:8" ht="12" customHeight="1" x14ac:dyDescent="0.25">
      <c r="A61" s="190" t="s">
        <v>550</v>
      </c>
      <c r="B61" s="191" t="s">
        <v>1002</v>
      </c>
      <c r="C61" s="188">
        <v>0</v>
      </c>
      <c r="D61" s="189">
        <f t="shared" si="2"/>
        <v>0</v>
      </c>
      <c r="E61" s="140" t="s">
        <v>680</v>
      </c>
    </row>
    <row r="62" spans="1:8" ht="12" customHeight="1" x14ac:dyDescent="0.25">
      <c r="A62" s="146" t="s">
        <v>551</v>
      </c>
      <c r="B62" s="147" t="s">
        <v>901</v>
      </c>
      <c r="C62" s="148">
        <v>0</v>
      </c>
      <c r="D62" s="149">
        <f t="shared" si="2"/>
        <v>0</v>
      </c>
      <c r="E62" s="137" t="s">
        <v>677</v>
      </c>
    </row>
    <row r="63" spans="1:8" ht="12" customHeight="1" x14ac:dyDescent="0.25">
      <c r="A63" s="146" t="s">
        <v>552</v>
      </c>
      <c r="B63" s="147" t="s">
        <v>392</v>
      </c>
      <c r="C63" s="148">
        <v>0</v>
      </c>
      <c r="D63" s="149">
        <f t="shared" si="2"/>
        <v>0</v>
      </c>
      <c r="E63" s="137" t="s">
        <v>677</v>
      </c>
    </row>
    <row r="64" spans="1:8" ht="12" customHeight="1" x14ac:dyDescent="0.25">
      <c r="A64" s="154" t="s">
        <v>553</v>
      </c>
      <c r="B64" s="155" t="s">
        <v>1003</v>
      </c>
      <c r="C64" s="156">
        <v>0</v>
      </c>
      <c r="D64" s="157">
        <f t="shared" si="2"/>
        <v>0</v>
      </c>
      <c r="E64" s="139" t="s">
        <v>679</v>
      </c>
    </row>
    <row r="65" spans="1:5" ht="12" customHeight="1" x14ac:dyDescent="0.25">
      <c r="A65" s="154" t="s">
        <v>554</v>
      </c>
      <c r="B65" s="155" t="s">
        <v>903</v>
      </c>
      <c r="C65" s="156">
        <v>0</v>
      </c>
      <c r="D65" s="157">
        <f t="shared" si="2"/>
        <v>0</v>
      </c>
      <c r="E65" s="139" t="s">
        <v>679</v>
      </c>
    </row>
    <row r="66" spans="1:5" ht="12" customHeight="1" x14ac:dyDescent="0.25">
      <c r="A66" s="190" t="s">
        <v>555</v>
      </c>
      <c r="B66" s="191" t="s">
        <v>904</v>
      </c>
      <c r="C66" s="188">
        <v>0</v>
      </c>
      <c r="D66" s="189">
        <f t="shared" si="2"/>
        <v>0</v>
      </c>
      <c r="E66" s="140" t="s">
        <v>680</v>
      </c>
    </row>
    <row r="67" spans="1:5" x14ac:dyDescent="0.25">
      <c r="A67" s="190" t="s">
        <v>556</v>
      </c>
      <c r="B67" s="191" t="s">
        <v>907</v>
      </c>
      <c r="C67" s="188">
        <v>0</v>
      </c>
      <c r="D67" s="189">
        <f t="shared" si="2"/>
        <v>0</v>
      </c>
      <c r="E67" s="140" t="s">
        <v>680</v>
      </c>
    </row>
    <row r="68" spans="1:5" x14ac:dyDescent="0.25">
      <c r="A68" s="190" t="s">
        <v>557</v>
      </c>
      <c r="B68" s="191" t="s">
        <v>908</v>
      </c>
      <c r="C68" s="188">
        <v>0</v>
      </c>
      <c r="D68" s="189">
        <f t="shared" si="2"/>
        <v>0</v>
      </c>
      <c r="E68" s="140" t="s">
        <v>680</v>
      </c>
    </row>
    <row r="69" spans="1:5" x14ac:dyDescent="0.25">
      <c r="A69" s="190" t="s">
        <v>558</v>
      </c>
      <c r="B69" s="191" t="s">
        <v>1004</v>
      </c>
      <c r="C69" s="188">
        <v>0</v>
      </c>
      <c r="D69" s="189">
        <f t="shared" si="2"/>
        <v>0</v>
      </c>
      <c r="E69" s="140" t="s">
        <v>680</v>
      </c>
    </row>
    <row r="70" spans="1:5" x14ac:dyDescent="0.25">
      <c r="A70" s="146" t="s">
        <v>559</v>
      </c>
      <c r="B70" s="147" t="s">
        <v>409</v>
      </c>
      <c r="C70" s="148">
        <v>0</v>
      </c>
      <c r="D70" s="149">
        <f t="shared" si="2"/>
        <v>0</v>
      </c>
      <c r="E70" s="137" t="s">
        <v>677</v>
      </c>
    </row>
    <row r="71" spans="1:5" x14ac:dyDescent="0.25">
      <c r="A71" s="146" t="s">
        <v>560</v>
      </c>
      <c r="B71" s="147" t="s">
        <v>411</v>
      </c>
      <c r="C71" s="148">
        <v>0</v>
      </c>
      <c r="D71" s="149">
        <f t="shared" si="2"/>
        <v>0</v>
      </c>
      <c r="E71" s="137" t="s">
        <v>677</v>
      </c>
    </row>
    <row r="72" spans="1:5" x14ac:dyDescent="0.25">
      <c r="A72" s="190" t="s">
        <v>561</v>
      </c>
      <c r="B72" s="191" t="s">
        <v>1005</v>
      </c>
      <c r="C72" s="188">
        <v>0</v>
      </c>
      <c r="D72" s="189">
        <f t="shared" si="2"/>
        <v>0</v>
      </c>
      <c r="E72" s="140" t="s">
        <v>680</v>
      </c>
    </row>
    <row r="73" spans="1:5" x14ac:dyDescent="0.25">
      <c r="A73" s="190" t="s">
        <v>562</v>
      </c>
      <c r="B73" s="191" t="s">
        <v>1006</v>
      </c>
      <c r="C73" s="188">
        <v>0</v>
      </c>
      <c r="D73" s="189">
        <f t="shared" si="2"/>
        <v>0</v>
      </c>
      <c r="E73" s="140" t="s">
        <v>680</v>
      </c>
    </row>
    <row r="74" spans="1:5" x14ac:dyDescent="0.25">
      <c r="A74" s="190" t="s">
        <v>563</v>
      </c>
      <c r="B74" s="191" t="s">
        <v>1007</v>
      </c>
      <c r="C74" s="188">
        <v>0</v>
      </c>
      <c r="D74" s="189">
        <f t="shared" si="2"/>
        <v>0</v>
      </c>
      <c r="E74" s="140" t="s">
        <v>680</v>
      </c>
    </row>
    <row r="75" spans="1:5" x14ac:dyDescent="0.25">
      <c r="A75" s="146" t="s">
        <v>564</v>
      </c>
      <c r="B75" s="147" t="s">
        <v>1008</v>
      </c>
      <c r="C75" s="148">
        <v>0</v>
      </c>
      <c r="D75" s="149">
        <f t="shared" si="2"/>
        <v>0</v>
      </c>
      <c r="E75" s="137" t="s">
        <v>677</v>
      </c>
    </row>
    <row r="76" spans="1:5" x14ac:dyDescent="0.25">
      <c r="A76" s="150" t="s">
        <v>565</v>
      </c>
      <c r="B76" s="151" t="s">
        <v>913</v>
      </c>
      <c r="C76" s="152">
        <v>0</v>
      </c>
      <c r="D76" s="153">
        <f t="shared" si="2"/>
        <v>0</v>
      </c>
      <c r="E76" s="138" t="s">
        <v>678</v>
      </c>
    </row>
    <row r="77" spans="1:5" x14ac:dyDescent="0.25">
      <c r="A77" s="154" t="s">
        <v>566</v>
      </c>
      <c r="B77" s="155" t="s">
        <v>1009</v>
      </c>
      <c r="C77" s="156">
        <v>0</v>
      </c>
      <c r="D77" s="157">
        <f t="shared" si="2"/>
        <v>0</v>
      </c>
      <c r="E77" s="139" t="s">
        <v>679</v>
      </c>
    </row>
    <row r="78" spans="1:5" x14ac:dyDescent="0.25">
      <c r="A78" s="154" t="s">
        <v>567</v>
      </c>
      <c r="B78" s="155" t="s">
        <v>413</v>
      </c>
      <c r="C78" s="156">
        <v>0</v>
      </c>
      <c r="D78" s="157">
        <f t="shared" si="2"/>
        <v>0</v>
      </c>
      <c r="E78" s="139" t="s">
        <v>679</v>
      </c>
    </row>
    <row r="79" spans="1:5" x14ac:dyDescent="0.25">
      <c r="A79" s="154" t="s">
        <v>568</v>
      </c>
      <c r="B79" s="155" t="s">
        <v>415</v>
      </c>
      <c r="C79" s="156">
        <v>0</v>
      </c>
      <c r="D79" s="157">
        <f t="shared" si="2"/>
        <v>0</v>
      </c>
      <c r="E79" s="139" t="s">
        <v>679</v>
      </c>
    </row>
    <row r="80" spans="1:5" x14ac:dyDescent="0.25">
      <c r="A80" s="150" t="s">
        <v>569</v>
      </c>
      <c r="B80" s="151" t="s">
        <v>1010</v>
      </c>
      <c r="C80" s="152">
        <v>0</v>
      </c>
      <c r="D80" s="153">
        <f t="shared" si="2"/>
        <v>0</v>
      </c>
      <c r="E80" s="138" t="s">
        <v>678</v>
      </c>
    </row>
    <row r="81" spans="1:5" x14ac:dyDescent="0.25">
      <c r="A81" s="150" t="s">
        <v>570</v>
      </c>
      <c r="B81" s="151" t="s">
        <v>918</v>
      </c>
      <c r="C81" s="152">
        <v>0</v>
      </c>
      <c r="D81" s="153">
        <f t="shared" si="2"/>
        <v>0</v>
      </c>
      <c r="E81" s="138" t="s">
        <v>678</v>
      </c>
    </row>
    <row r="82" spans="1:5" x14ac:dyDescent="0.25">
      <c r="A82" s="190" t="s">
        <v>571</v>
      </c>
      <c r="B82" s="191" t="s">
        <v>320</v>
      </c>
      <c r="C82" s="188">
        <v>0</v>
      </c>
      <c r="D82" s="189">
        <f t="shared" si="2"/>
        <v>0</v>
      </c>
      <c r="E82" s="140" t="s">
        <v>680</v>
      </c>
    </row>
    <row r="83" spans="1:5" x14ac:dyDescent="0.25">
      <c r="A83" s="190" t="s">
        <v>572</v>
      </c>
      <c r="B83" s="191" t="s">
        <v>437</v>
      </c>
      <c r="C83" s="188">
        <v>0</v>
      </c>
      <c r="D83" s="189">
        <f t="shared" si="2"/>
        <v>0</v>
      </c>
      <c r="E83" s="140" t="s">
        <v>680</v>
      </c>
    </row>
    <row r="84" spans="1:5" x14ac:dyDescent="0.25">
      <c r="A84" s="190" t="s">
        <v>573</v>
      </c>
      <c r="B84" s="191" t="s">
        <v>438</v>
      </c>
      <c r="C84" s="188">
        <v>0</v>
      </c>
      <c r="D84" s="189">
        <f t="shared" si="2"/>
        <v>0</v>
      </c>
      <c r="E84" s="140" t="s">
        <v>680</v>
      </c>
    </row>
    <row r="85" spans="1:5" x14ac:dyDescent="0.25">
      <c r="A85" s="150" t="s">
        <v>574</v>
      </c>
      <c r="B85" s="151" t="s">
        <v>439</v>
      </c>
      <c r="C85" s="152">
        <v>0</v>
      </c>
      <c r="D85" s="153">
        <f t="shared" si="2"/>
        <v>0</v>
      </c>
      <c r="E85" s="138" t="s">
        <v>678</v>
      </c>
    </row>
    <row r="86" spans="1:5" x14ac:dyDescent="0.25">
      <c r="A86" s="150" t="s">
        <v>575</v>
      </c>
      <c r="B86" s="151" t="s">
        <v>511</v>
      </c>
      <c r="C86" s="152">
        <v>0</v>
      </c>
      <c r="D86" s="153">
        <f t="shared" si="2"/>
        <v>0</v>
      </c>
      <c r="E86" s="138" t="s">
        <v>678</v>
      </c>
    </row>
    <row r="87" spans="1:5" x14ac:dyDescent="0.25">
      <c r="A87" s="154" t="s">
        <v>576</v>
      </c>
      <c r="B87" s="155" t="s">
        <v>1011</v>
      </c>
      <c r="C87" s="156">
        <v>0</v>
      </c>
      <c r="D87" s="157">
        <f t="shared" si="2"/>
        <v>0</v>
      </c>
      <c r="E87" s="139" t="s">
        <v>679</v>
      </c>
    </row>
    <row r="88" spans="1:5" x14ac:dyDescent="0.25">
      <c r="A88" s="154" t="s">
        <v>577</v>
      </c>
      <c r="B88" s="155" t="s">
        <v>1012</v>
      </c>
      <c r="C88" s="156">
        <v>0</v>
      </c>
      <c r="D88" s="157">
        <f t="shared" si="2"/>
        <v>0</v>
      </c>
      <c r="E88" s="139" t="s">
        <v>679</v>
      </c>
    </row>
    <row r="89" spans="1:5" x14ac:dyDescent="0.25">
      <c r="A89" s="190" t="s">
        <v>578</v>
      </c>
      <c r="B89" s="191" t="s">
        <v>1013</v>
      </c>
      <c r="C89" s="188">
        <v>0</v>
      </c>
      <c r="D89" s="189">
        <f t="shared" si="2"/>
        <v>0</v>
      </c>
      <c r="E89" s="140" t="s">
        <v>680</v>
      </c>
    </row>
    <row r="90" spans="1:5" x14ac:dyDescent="0.25">
      <c r="A90" s="190" t="s">
        <v>579</v>
      </c>
      <c r="B90" s="191" t="s">
        <v>1014</v>
      </c>
      <c r="C90" s="188">
        <v>0</v>
      </c>
      <c r="D90" s="189">
        <f t="shared" si="2"/>
        <v>0</v>
      </c>
      <c r="E90" s="140" t="s">
        <v>680</v>
      </c>
    </row>
    <row r="91" spans="1:5" x14ac:dyDescent="0.25">
      <c r="A91" s="190" t="s">
        <v>580</v>
      </c>
      <c r="B91" s="191" t="s">
        <v>1015</v>
      </c>
      <c r="C91" s="188">
        <v>0</v>
      </c>
      <c r="D91" s="189">
        <f t="shared" si="2"/>
        <v>0</v>
      </c>
      <c r="E91" s="140" t="s">
        <v>680</v>
      </c>
    </row>
    <row r="92" spans="1:5" x14ac:dyDescent="0.25">
      <c r="A92" s="190" t="s">
        <v>581</v>
      </c>
      <c r="B92" s="191" t="s">
        <v>1016</v>
      </c>
      <c r="C92" s="188">
        <v>0</v>
      </c>
      <c r="D92" s="189">
        <f t="shared" si="2"/>
        <v>0</v>
      </c>
      <c r="E92" s="140" t="s">
        <v>680</v>
      </c>
    </row>
    <row r="93" spans="1:5" x14ac:dyDescent="0.25">
      <c r="A93" s="190" t="s">
        <v>582</v>
      </c>
      <c r="B93" s="191" t="s">
        <v>1017</v>
      </c>
      <c r="C93" s="188">
        <v>0</v>
      </c>
      <c r="D93" s="189">
        <f t="shared" si="2"/>
        <v>0</v>
      </c>
      <c r="E93" s="140" t="s">
        <v>680</v>
      </c>
    </row>
    <row r="94" spans="1:5" x14ac:dyDescent="0.25">
      <c r="A94" s="190" t="s">
        <v>583</v>
      </c>
      <c r="B94" s="191" t="s">
        <v>1018</v>
      </c>
      <c r="C94" s="188">
        <v>0</v>
      </c>
      <c r="D94" s="189">
        <f t="shared" si="2"/>
        <v>0</v>
      </c>
      <c r="E94" s="140" t="s">
        <v>680</v>
      </c>
    </row>
    <row r="95" spans="1:5" x14ac:dyDescent="0.25">
      <c r="A95" s="190" t="s">
        <v>584</v>
      </c>
      <c r="B95" s="191" t="s">
        <v>1019</v>
      </c>
      <c r="C95" s="188">
        <v>0</v>
      </c>
      <c r="D95" s="189">
        <f t="shared" si="2"/>
        <v>0</v>
      </c>
      <c r="E95" s="140" t="s">
        <v>680</v>
      </c>
    </row>
    <row r="96" spans="1:5" x14ac:dyDescent="0.25">
      <c r="A96" s="190" t="s">
        <v>585</v>
      </c>
      <c r="B96" s="191" t="s">
        <v>427</v>
      </c>
      <c r="C96" s="188">
        <v>0</v>
      </c>
      <c r="D96" s="189">
        <f t="shared" si="2"/>
        <v>0</v>
      </c>
      <c r="E96" s="140" t="s">
        <v>680</v>
      </c>
    </row>
    <row r="97" spans="1:8" x14ac:dyDescent="0.25">
      <c r="A97" s="190" t="s">
        <v>586</v>
      </c>
      <c r="B97" s="191" t="s">
        <v>426</v>
      </c>
      <c r="C97" s="188">
        <v>0</v>
      </c>
      <c r="D97" s="189">
        <f t="shared" si="2"/>
        <v>0</v>
      </c>
      <c r="E97" s="140" t="s">
        <v>680</v>
      </c>
    </row>
    <row r="98" spans="1:8" x14ac:dyDescent="0.25">
      <c r="A98" s="190" t="s">
        <v>587</v>
      </c>
      <c r="B98" s="191" t="s">
        <v>1020</v>
      </c>
      <c r="C98" s="188">
        <v>0</v>
      </c>
      <c r="D98" s="189">
        <f t="shared" si="2"/>
        <v>0</v>
      </c>
      <c r="E98" s="140" t="s">
        <v>680</v>
      </c>
      <c r="F98" s="67" t="s">
        <v>163</v>
      </c>
    </row>
    <row r="99" spans="1:8" x14ac:dyDescent="0.25">
      <c r="A99" s="142" t="s">
        <v>588</v>
      </c>
      <c r="B99" s="143" t="s">
        <v>1021</v>
      </c>
      <c r="C99" s="144">
        <v>0</v>
      </c>
      <c r="D99" s="145">
        <f t="shared" si="2"/>
        <v>0</v>
      </c>
      <c r="E99" s="141" t="s">
        <v>681</v>
      </c>
      <c r="F99" s="67" t="s">
        <v>158</v>
      </c>
    </row>
    <row r="100" spans="1:8" x14ac:dyDescent="0.25">
      <c r="A100" s="190" t="s">
        <v>589</v>
      </c>
      <c r="B100" s="191" t="s">
        <v>256</v>
      </c>
      <c r="C100" s="188">
        <v>0</v>
      </c>
      <c r="D100" s="189">
        <f t="shared" si="2"/>
        <v>0</v>
      </c>
      <c r="E100" s="140" t="s">
        <v>680</v>
      </c>
      <c r="G100" s="133">
        <f>C99</f>
        <v>0</v>
      </c>
    </row>
    <row r="101" spans="1:8" x14ac:dyDescent="0.25">
      <c r="A101" s="94" t="s">
        <v>101</v>
      </c>
      <c r="B101" s="99" t="s">
        <v>261</v>
      </c>
      <c r="C101" s="68">
        <f>SUM(C103:C112)</f>
        <v>0</v>
      </c>
      <c r="D101" s="68">
        <f>SUM(D103:D112)</f>
        <v>0</v>
      </c>
    </row>
    <row r="102" spans="1:8" x14ac:dyDescent="0.25">
      <c r="A102" s="87" t="s">
        <v>108</v>
      </c>
      <c r="B102" s="122" t="str">
        <f>DG!D94</f>
        <v>Statia 110/20 kV P.N. Gara, jud. NT</v>
      </c>
      <c r="C102" s="89"/>
      <c r="D102" s="90"/>
    </row>
    <row r="103" spans="1:8" x14ac:dyDescent="0.25">
      <c r="A103" s="158" t="s">
        <v>978</v>
      </c>
      <c r="B103" s="147" t="s">
        <v>979</v>
      </c>
      <c r="C103" s="148">
        <v>0</v>
      </c>
      <c r="D103" s="149">
        <f t="shared" ref="D103:D112" si="3">C103</f>
        <v>0</v>
      </c>
      <c r="E103" s="137" t="s">
        <v>677</v>
      </c>
      <c r="G103" s="137" t="s">
        <v>677</v>
      </c>
      <c r="H103" s="164">
        <f>C103</f>
        <v>0</v>
      </c>
    </row>
    <row r="104" spans="1:8" x14ac:dyDescent="0.25">
      <c r="A104" s="162" t="s">
        <v>590</v>
      </c>
      <c r="B104" s="151" t="s">
        <v>980</v>
      </c>
      <c r="C104" s="152">
        <v>0</v>
      </c>
      <c r="D104" s="153">
        <f t="shared" si="3"/>
        <v>0</v>
      </c>
      <c r="E104" s="138" t="s">
        <v>678</v>
      </c>
      <c r="G104" s="138" t="s">
        <v>678</v>
      </c>
      <c r="H104" s="133">
        <f>C104+C112</f>
        <v>0</v>
      </c>
    </row>
    <row r="105" spans="1:8" ht="12" customHeight="1" x14ac:dyDescent="0.25">
      <c r="A105" s="160" t="s">
        <v>591</v>
      </c>
      <c r="B105" s="155" t="s">
        <v>981</v>
      </c>
      <c r="C105" s="156">
        <v>0</v>
      </c>
      <c r="D105" s="157">
        <f t="shared" si="3"/>
        <v>0</v>
      </c>
      <c r="E105" s="139" t="s">
        <v>679</v>
      </c>
      <c r="G105" s="139" t="s">
        <v>679</v>
      </c>
      <c r="H105" s="133">
        <f>C105+C106+C107</f>
        <v>0</v>
      </c>
    </row>
    <row r="106" spans="1:8" ht="12" customHeight="1" x14ac:dyDescent="0.25">
      <c r="A106" s="160" t="s">
        <v>592</v>
      </c>
      <c r="B106" s="155" t="s">
        <v>982</v>
      </c>
      <c r="C106" s="156">
        <v>0</v>
      </c>
      <c r="D106" s="157">
        <f t="shared" si="3"/>
        <v>0</v>
      </c>
      <c r="E106" s="139" t="s">
        <v>679</v>
      </c>
      <c r="G106" s="140" t="s">
        <v>680</v>
      </c>
      <c r="H106" s="133">
        <f>C108+C109+C110+C111</f>
        <v>0</v>
      </c>
    </row>
    <row r="107" spans="1:8" x14ac:dyDescent="0.25">
      <c r="A107" s="160" t="s">
        <v>593</v>
      </c>
      <c r="B107" s="155" t="s">
        <v>983</v>
      </c>
      <c r="C107" s="156">
        <v>0</v>
      </c>
      <c r="D107" s="157">
        <f t="shared" si="3"/>
        <v>0</v>
      </c>
      <c r="E107" s="139" t="s">
        <v>679</v>
      </c>
    </row>
    <row r="108" spans="1:8" x14ac:dyDescent="0.25">
      <c r="A108" s="194" t="s">
        <v>594</v>
      </c>
      <c r="B108" s="191" t="s">
        <v>984</v>
      </c>
      <c r="C108" s="188">
        <v>0</v>
      </c>
      <c r="D108" s="189">
        <f t="shared" si="3"/>
        <v>0</v>
      </c>
      <c r="E108" s="140" t="s">
        <v>680</v>
      </c>
      <c r="H108" s="169">
        <f>C101-H103-H104-H105-H106</f>
        <v>0</v>
      </c>
    </row>
    <row r="109" spans="1:8" ht="12" customHeight="1" x14ac:dyDescent="0.25">
      <c r="A109" s="194" t="s">
        <v>595</v>
      </c>
      <c r="B109" s="191" t="s">
        <v>985</v>
      </c>
      <c r="C109" s="188">
        <v>0</v>
      </c>
      <c r="D109" s="189">
        <f t="shared" si="3"/>
        <v>0</v>
      </c>
      <c r="E109" s="140" t="s">
        <v>680</v>
      </c>
    </row>
    <row r="110" spans="1:8" ht="12" customHeight="1" x14ac:dyDescent="0.25">
      <c r="A110" s="194" t="s">
        <v>596</v>
      </c>
      <c r="B110" s="191" t="s">
        <v>986</v>
      </c>
      <c r="C110" s="188">
        <v>0</v>
      </c>
      <c r="D110" s="189">
        <f t="shared" si="3"/>
        <v>0</v>
      </c>
      <c r="E110" s="140" t="s">
        <v>680</v>
      </c>
    </row>
    <row r="111" spans="1:8" ht="12" customHeight="1" x14ac:dyDescent="0.25">
      <c r="A111" s="194" t="s">
        <v>597</v>
      </c>
      <c r="B111" s="191" t="s">
        <v>987</v>
      </c>
      <c r="C111" s="188">
        <v>0</v>
      </c>
      <c r="D111" s="189">
        <f t="shared" si="3"/>
        <v>0</v>
      </c>
      <c r="E111" s="140" t="s">
        <v>680</v>
      </c>
    </row>
    <row r="112" spans="1:8" ht="12" customHeight="1" x14ac:dyDescent="0.25">
      <c r="A112" s="162" t="s">
        <v>598</v>
      </c>
      <c r="B112" s="151" t="s">
        <v>988</v>
      </c>
      <c r="C112" s="152">
        <v>0</v>
      </c>
      <c r="D112" s="153">
        <f t="shared" si="3"/>
        <v>0</v>
      </c>
      <c r="E112" s="138" t="s">
        <v>678</v>
      </c>
    </row>
    <row r="113" spans="1:8" x14ac:dyDescent="0.25">
      <c r="A113" s="94" t="s">
        <v>110</v>
      </c>
      <c r="B113" s="99" t="s">
        <v>270</v>
      </c>
      <c r="C113" s="68">
        <f>SUM(C115:C124)</f>
        <v>0</v>
      </c>
      <c r="D113" s="68">
        <f>SUM(D115:D124)</f>
        <v>0</v>
      </c>
    </row>
    <row r="114" spans="1:8" x14ac:dyDescent="0.25">
      <c r="A114" s="88" t="s">
        <v>117</v>
      </c>
      <c r="B114" s="111" t="str">
        <f>DG!D107</f>
        <v>Statia 110/20 kV P.N. Gara, jud. NT</v>
      </c>
      <c r="C114" s="89"/>
      <c r="D114" s="89"/>
    </row>
    <row r="115" spans="1:8" x14ac:dyDescent="0.25">
      <c r="A115" s="158" t="s">
        <v>599</v>
      </c>
      <c r="B115" s="147" t="s">
        <v>441</v>
      </c>
      <c r="C115" s="148">
        <v>0</v>
      </c>
      <c r="D115" s="159">
        <v>0</v>
      </c>
      <c r="E115" s="137" t="s">
        <v>677</v>
      </c>
      <c r="G115" s="137" t="s">
        <v>677</v>
      </c>
      <c r="H115" s="164">
        <f>C115</f>
        <v>0</v>
      </c>
    </row>
    <row r="116" spans="1:8" ht="12" customHeight="1" x14ac:dyDescent="0.25">
      <c r="A116" s="162" t="s">
        <v>600</v>
      </c>
      <c r="B116" s="151" t="s">
        <v>967</v>
      </c>
      <c r="C116" s="152">
        <v>0</v>
      </c>
      <c r="D116" s="163">
        <v>0</v>
      </c>
      <c r="E116" s="138" t="s">
        <v>678</v>
      </c>
      <c r="G116" s="138" t="s">
        <v>678</v>
      </c>
      <c r="H116" s="133">
        <f>C116+C124</f>
        <v>0</v>
      </c>
    </row>
    <row r="117" spans="1:8" ht="12" customHeight="1" x14ac:dyDescent="0.25">
      <c r="A117" s="160" t="s">
        <v>601</v>
      </c>
      <c r="B117" s="155" t="s">
        <v>968</v>
      </c>
      <c r="C117" s="156">
        <v>0</v>
      </c>
      <c r="D117" s="161">
        <v>0</v>
      </c>
      <c r="E117" s="139" t="s">
        <v>679</v>
      </c>
      <c r="G117" s="139" t="s">
        <v>679</v>
      </c>
      <c r="H117" s="133">
        <f>C117+C118+C119</f>
        <v>0</v>
      </c>
    </row>
    <row r="118" spans="1:8" x14ac:dyDescent="0.25">
      <c r="A118" s="160" t="s">
        <v>602</v>
      </c>
      <c r="B118" s="155" t="s">
        <v>950</v>
      </c>
      <c r="C118" s="156">
        <v>0</v>
      </c>
      <c r="D118" s="161">
        <v>0</v>
      </c>
      <c r="E118" s="139" t="s">
        <v>679</v>
      </c>
      <c r="G118" s="140" t="s">
        <v>680</v>
      </c>
      <c r="H118" s="133">
        <f>C120+C121+C122+C123</f>
        <v>0</v>
      </c>
    </row>
    <row r="119" spans="1:8" x14ac:dyDescent="0.25">
      <c r="A119" s="160" t="s">
        <v>603</v>
      </c>
      <c r="B119" s="155" t="s">
        <v>969</v>
      </c>
      <c r="C119" s="156">
        <v>0</v>
      </c>
      <c r="D119" s="161">
        <v>0</v>
      </c>
      <c r="E119" s="139" t="s">
        <v>679</v>
      </c>
    </row>
    <row r="120" spans="1:8" ht="12" customHeight="1" x14ac:dyDescent="0.25">
      <c r="A120" s="194" t="s">
        <v>605</v>
      </c>
      <c r="B120" s="191" t="s">
        <v>970</v>
      </c>
      <c r="C120" s="188">
        <v>0</v>
      </c>
      <c r="D120" s="197">
        <v>0</v>
      </c>
      <c r="E120" s="140" t="s">
        <v>680</v>
      </c>
      <c r="H120" s="169">
        <f>C113-H115-H116-H117-H118</f>
        <v>0</v>
      </c>
    </row>
    <row r="121" spans="1:8" ht="12" customHeight="1" x14ac:dyDescent="0.25">
      <c r="A121" s="194" t="s">
        <v>607</v>
      </c>
      <c r="B121" s="191" t="s">
        <v>971</v>
      </c>
      <c r="C121" s="188">
        <v>0</v>
      </c>
      <c r="D121" s="197">
        <v>0</v>
      </c>
      <c r="E121" s="140" t="s">
        <v>680</v>
      </c>
    </row>
    <row r="122" spans="1:8" ht="12" customHeight="1" x14ac:dyDescent="0.25">
      <c r="A122" s="194" t="s">
        <v>608</v>
      </c>
      <c r="B122" s="191" t="s">
        <v>451</v>
      </c>
      <c r="C122" s="188">
        <v>0</v>
      </c>
      <c r="D122" s="197">
        <v>0</v>
      </c>
      <c r="E122" s="140" t="s">
        <v>680</v>
      </c>
    </row>
    <row r="123" spans="1:8" ht="12" customHeight="1" x14ac:dyDescent="0.25">
      <c r="A123" s="194" t="s">
        <v>609</v>
      </c>
      <c r="B123" s="191" t="s">
        <v>972</v>
      </c>
      <c r="C123" s="188">
        <v>0</v>
      </c>
      <c r="D123" s="197">
        <v>0</v>
      </c>
      <c r="E123" s="140" t="s">
        <v>680</v>
      </c>
    </row>
    <row r="124" spans="1:8" ht="12" customHeight="1" x14ac:dyDescent="0.25">
      <c r="A124" s="162" t="s">
        <v>611</v>
      </c>
      <c r="B124" s="151" t="s">
        <v>973</v>
      </c>
      <c r="C124" s="152">
        <v>0</v>
      </c>
      <c r="D124" s="163">
        <v>0</v>
      </c>
      <c r="E124" s="138" t="s">
        <v>678</v>
      </c>
    </row>
    <row r="125" spans="1:8" ht="12" customHeight="1" x14ac:dyDescent="0.25">
      <c r="A125" s="74" t="s">
        <v>119</v>
      </c>
      <c r="B125" s="83" t="s">
        <v>282</v>
      </c>
      <c r="C125" s="73">
        <v>0</v>
      </c>
      <c r="D125" s="73">
        <v>0</v>
      </c>
    </row>
    <row r="126" spans="1:8" x14ac:dyDescent="0.25">
      <c r="A126" s="74" t="s">
        <v>121</v>
      </c>
      <c r="B126" s="72" t="s">
        <v>283</v>
      </c>
      <c r="C126" s="73">
        <v>0</v>
      </c>
      <c r="D126" s="73">
        <v>0</v>
      </c>
    </row>
    <row r="127" spans="1:8" x14ac:dyDescent="0.25">
      <c r="A127" s="74" t="s">
        <v>123</v>
      </c>
      <c r="B127" s="72" t="s">
        <v>284</v>
      </c>
      <c r="C127" s="73">
        <v>0</v>
      </c>
      <c r="D127" s="73">
        <v>0</v>
      </c>
    </row>
    <row r="128" spans="1:8" x14ac:dyDescent="0.25">
      <c r="A128" s="74" t="s">
        <v>127</v>
      </c>
      <c r="B128" s="72" t="s">
        <v>285</v>
      </c>
      <c r="C128" s="73">
        <v>0</v>
      </c>
      <c r="D128" s="73">
        <v>0</v>
      </c>
    </row>
    <row r="129" spans="1:4" x14ac:dyDescent="0.25">
      <c r="A129" s="74" t="s">
        <v>286</v>
      </c>
      <c r="B129" s="77" t="s">
        <v>287</v>
      </c>
      <c r="C129" s="73">
        <v>0</v>
      </c>
      <c r="D129" s="73">
        <v>0</v>
      </c>
    </row>
    <row r="130" spans="1:4" x14ac:dyDescent="0.25">
      <c r="A130" s="74" t="s">
        <v>288</v>
      </c>
      <c r="B130" s="72" t="s">
        <v>289</v>
      </c>
      <c r="C130" s="73">
        <v>0</v>
      </c>
      <c r="D130" s="73">
        <v>0</v>
      </c>
    </row>
    <row r="131" spans="1:4" x14ac:dyDescent="0.25">
      <c r="A131" s="74" t="s">
        <v>150</v>
      </c>
      <c r="B131" s="72" t="s">
        <v>290</v>
      </c>
      <c r="C131" s="73">
        <v>0</v>
      </c>
      <c r="D131" s="73">
        <v>0</v>
      </c>
    </row>
    <row r="132" spans="1:4" x14ac:dyDescent="0.25">
      <c r="A132" s="274" t="s">
        <v>291</v>
      </c>
      <c r="B132" s="274"/>
      <c r="C132" s="73">
        <f>C13+C43+C44+C51</f>
        <v>0</v>
      </c>
      <c r="D132" s="73">
        <f>D13+D43+D44+D51</f>
        <v>0</v>
      </c>
    </row>
    <row r="133" spans="1:4" x14ac:dyDescent="0.25">
      <c r="A133" s="274" t="s">
        <v>292</v>
      </c>
      <c r="B133" s="274"/>
      <c r="C133" s="73">
        <f>C132*19%</f>
        <v>0</v>
      </c>
      <c r="D133" s="73">
        <f>D132*19%</f>
        <v>0</v>
      </c>
    </row>
    <row r="134" spans="1:4" x14ac:dyDescent="0.25">
      <c r="A134" s="274" t="s">
        <v>293</v>
      </c>
      <c r="B134" s="274"/>
      <c r="C134" s="73">
        <f>C132+C133</f>
        <v>0</v>
      </c>
      <c r="D134" s="73">
        <f>D132+D133</f>
        <v>0</v>
      </c>
    </row>
  </sheetData>
  <mergeCells count="12">
    <mergeCell ref="A10:A11"/>
    <mergeCell ref="B10:B11"/>
    <mergeCell ref="A132:B132"/>
    <mergeCell ref="A133:B133"/>
    <mergeCell ref="A134:B134"/>
    <mergeCell ref="A9:B9"/>
    <mergeCell ref="A1:B1"/>
    <mergeCell ref="A2:B2"/>
    <mergeCell ref="A3:D3"/>
    <mergeCell ref="A4:D4"/>
    <mergeCell ref="B6:D6"/>
    <mergeCell ref="C9:D9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D91F-A401-4CB9-83BC-5A3C04AD028D}">
  <dimension ref="A1:H133"/>
  <sheetViews>
    <sheetView tabSelected="1" zoomScale="115" zoomScaleNormal="115" zoomScaleSheetLayoutView="100" workbookViewId="0">
      <selection activeCell="C124" sqref="C124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1" style="67" customWidth="1"/>
    <col min="6" max="6" width="8.69921875" style="67"/>
    <col min="7" max="7" width="11.3984375" style="67" customWidth="1"/>
    <col min="8" max="8" width="11.0976562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DG!D82</f>
        <v>Statia 110/20 kV Roman Vest, jud. NT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C14+C15+C36+C39</f>
        <v>0</v>
      </c>
      <c r="D13" s="102">
        <f>D14+D15+D36+D39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SUM(C17:C35)</f>
        <v>0</v>
      </c>
      <c r="D15" s="68">
        <f>SUM(D17:D35)</f>
        <v>0</v>
      </c>
    </row>
    <row r="16" spans="1:5" x14ac:dyDescent="0.25">
      <c r="A16" s="109" t="s">
        <v>37</v>
      </c>
      <c r="B16" s="70" t="str">
        <f>DG!D23</f>
        <v>Statia 110/20 kV Roman Vest, jud. NT</v>
      </c>
      <c r="C16" s="66"/>
      <c r="D16" s="66"/>
    </row>
    <row r="17" spans="1:8" x14ac:dyDescent="0.25">
      <c r="A17" s="174" t="s">
        <v>612</v>
      </c>
      <c r="B17" s="147" t="s">
        <v>874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SUM(C17:C23)+C27+C34</f>
        <v>0</v>
      </c>
    </row>
    <row r="18" spans="1:8" x14ac:dyDescent="0.25">
      <c r="A18" s="174" t="s">
        <v>613</v>
      </c>
      <c r="B18" s="147" t="s">
        <v>1599</v>
      </c>
      <c r="C18" s="148">
        <v>0</v>
      </c>
      <c r="D18" s="149">
        <f t="shared" ref="D18:D25" si="0">C18</f>
        <v>0</v>
      </c>
      <c r="E18" s="137" t="s">
        <v>677</v>
      </c>
      <c r="G18" s="138" t="s">
        <v>678</v>
      </c>
      <c r="H18" s="164">
        <f>SUM(C29:C31)</f>
        <v>0</v>
      </c>
    </row>
    <row r="19" spans="1:8" x14ac:dyDescent="0.25">
      <c r="A19" s="174" t="s">
        <v>614</v>
      </c>
      <c r="B19" s="147" t="s">
        <v>875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64">
        <f>SUM(C24:C26)+C28+C33</f>
        <v>0</v>
      </c>
    </row>
    <row r="20" spans="1:8" x14ac:dyDescent="0.25">
      <c r="A20" s="174" t="s">
        <v>615</v>
      </c>
      <c r="B20" s="147" t="s">
        <v>1600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64">
        <f>C32+C35</f>
        <v>0</v>
      </c>
    </row>
    <row r="21" spans="1:8" x14ac:dyDescent="0.25">
      <c r="A21" s="174" t="s">
        <v>616</v>
      </c>
      <c r="B21" s="147" t="s">
        <v>1601</v>
      </c>
      <c r="C21" s="148">
        <v>0</v>
      </c>
      <c r="D21" s="149">
        <f t="shared" si="0"/>
        <v>0</v>
      </c>
      <c r="E21" s="137" t="s">
        <v>677</v>
      </c>
    </row>
    <row r="22" spans="1:8" x14ac:dyDescent="0.25">
      <c r="A22" s="174" t="s">
        <v>617</v>
      </c>
      <c r="B22" s="147" t="s">
        <v>1602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x14ac:dyDescent="0.25">
      <c r="A23" s="174" t="s">
        <v>618</v>
      </c>
      <c r="B23" s="147" t="s">
        <v>1603</v>
      </c>
      <c r="C23" s="148">
        <v>0</v>
      </c>
      <c r="D23" s="149">
        <f t="shared" si="0"/>
        <v>0</v>
      </c>
      <c r="E23" s="137" t="s">
        <v>677</v>
      </c>
    </row>
    <row r="24" spans="1:8" x14ac:dyDescent="0.25">
      <c r="A24" s="175" t="s">
        <v>619</v>
      </c>
      <c r="B24" s="155" t="s">
        <v>1717</v>
      </c>
      <c r="C24" s="156">
        <v>0</v>
      </c>
      <c r="D24" s="157">
        <f t="shared" si="0"/>
        <v>0</v>
      </c>
      <c r="E24" s="139" t="s">
        <v>679</v>
      </c>
    </row>
    <row r="25" spans="1:8" x14ac:dyDescent="0.25">
      <c r="A25" s="175" t="s">
        <v>620</v>
      </c>
      <c r="B25" s="155" t="s">
        <v>884</v>
      </c>
      <c r="C25" s="156">
        <v>0</v>
      </c>
      <c r="D25" s="157">
        <f t="shared" si="0"/>
        <v>0</v>
      </c>
      <c r="E25" s="139" t="s">
        <v>679</v>
      </c>
    </row>
    <row r="26" spans="1:8" x14ac:dyDescent="0.25">
      <c r="A26" s="175" t="s">
        <v>621</v>
      </c>
      <c r="B26" s="155" t="s">
        <v>1718</v>
      </c>
      <c r="C26" s="156">
        <v>0</v>
      </c>
      <c r="D26" s="157">
        <f t="shared" ref="D26:D36" si="1">C26</f>
        <v>0</v>
      </c>
      <c r="E26" s="139" t="s">
        <v>679</v>
      </c>
    </row>
    <row r="27" spans="1:8" x14ac:dyDescent="0.25">
      <c r="A27" s="146" t="s">
        <v>1815</v>
      </c>
      <c r="B27" s="147" t="s">
        <v>889</v>
      </c>
      <c r="C27" s="148">
        <v>0</v>
      </c>
      <c r="D27" s="149">
        <f t="shared" si="1"/>
        <v>0</v>
      </c>
      <c r="E27" s="137" t="s">
        <v>677</v>
      </c>
    </row>
    <row r="28" spans="1:8" x14ac:dyDescent="0.25">
      <c r="A28" s="154" t="s">
        <v>1816</v>
      </c>
      <c r="B28" s="155" t="s">
        <v>1661</v>
      </c>
      <c r="C28" s="156">
        <v>0</v>
      </c>
      <c r="D28" s="157">
        <f t="shared" si="1"/>
        <v>0</v>
      </c>
      <c r="E28" s="139" t="s">
        <v>679</v>
      </c>
    </row>
    <row r="29" spans="1:8" x14ac:dyDescent="0.25">
      <c r="A29" s="150" t="s">
        <v>1817</v>
      </c>
      <c r="B29" s="151" t="s">
        <v>896</v>
      </c>
      <c r="C29" s="152">
        <v>0</v>
      </c>
      <c r="D29" s="153">
        <f t="shared" si="1"/>
        <v>0</v>
      </c>
      <c r="E29" s="138" t="s">
        <v>678</v>
      </c>
    </row>
    <row r="30" spans="1:8" x14ac:dyDescent="0.25">
      <c r="A30" s="150" t="s">
        <v>1818</v>
      </c>
      <c r="B30" s="151" t="s">
        <v>1663</v>
      </c>
      <c r="C30" s="152">
        <v>0</v>
      </c>
      <c r="D30" s="153">
        <f t="shared" si="1"/>
        <v>0</v>
      </c>
      <c r="E30" s="138" t="s">
        <v>678</v>
      </c>
    </row>
    <row r="31" spans="1:8" x14ac:dyDescent="0.25">
      <c r="A31" s="150" t="s">
        <v>1819</v>
      </c>
      <c r="B31" s="151" t="s">
        <v>1719</v>
      </c>
      <c r="C31" s="152">
        <v>0</v>
      </c>
      <c r="D31" s="153">
        <f t="shared" si="1"/>
        <v>0</v>
      </c>
      <c r="E31" s="138" t="s">
        <v>678</v>
      </c>
    </row>
    <row r="32" spans="1:8" x14ac:dyDescent="0.25">
      <c r="A32" s="190" t="s">
        <v>1820</v>
      </c>
      <c r="B32" s="191" t="s">
        <v>363</v>
      </c>
      <c r="C32" s="188">
        <v>0</v>
      </c>
      <c r="D32" s="189">
        <f t="shared" si="1"/>
        <v>0</v>
      </c>
      <c r="E32" s="140" t="s">
        <v>680</v>
      </c>
    </row>
    <row r="33" spans="1:5" x14ac:dyDescent="0.25">
      <c r="A33" s="154" t="s">
        <v>1821</v>
      </c>
      <c r="B33" s="155" t="s">
        <v>1720</v>
      </c>
      <c r="C33" s="156">
        <v>0</v>
      </c>
      <c r="D33" s="157">
        <f t="shared" si="1"/>
        <v>0</v>
      </c>
      <c r="E33" s="139" t="s">
        <v>679</v>
      </c>
    </row>
    <row r="34" spans="1:5" x14ac:dyDescent="0.25">
      <c r="A34" s="146" t="s">
        <v>1822</v>
      </c>
      <c r="B34" s="147" t="s">
        <v>887</v>
      </c>
      <c r="C34" s="148">
        <v>0</v>
      </c>
      <c r="D34" s="149">
        <f t="shared" si="1"/>
        <v>0</v>
      </c>
      <c r="E34" s="137" t="s">
        <v>677</v>
      </c>
    </row>
    <row r="35" spans="1:5" x14ac:dyDescent="0.25">
      <c r="A35" s="190" t="s">
        <v>1823</v>
      </c>
      <c r="B35" s="191" t="s">
        <v>993</v>
      </c>
      <c r="C35" s="188">
        <v>0</v>
      </c>
      <c r="D35" s="189">
        <f t="shared" si="1"/>
        <v>0</v>
      </c>
      <c r="E35" s="140" t="s">
        <v>680</v>
      </c>
    </row>
    <row r="36" spans="1:5" x14ac:dyDescent="0.25">
      <c r="A36" s="94" t="s">
        <v>39</v>
      </c>
      <c r="B36" s="95" t="s">
        <v>185</v>
      </c>
      <c r="C36" s="96">
        <f>C38</f>
        <v>0</v>
      </c>
      <c r="D36" s="97">
        <f t="shared" si="1"/>
        <v>0</v>
      </c>
    </row>
    <row r="37" spans="1:5" ht="11.1" customHeight="1" x14ac:dyDescent="0.25">
      <c r="A37" s="69" t="s">
        <v>47</v>
      </c>
      <c r="B37" s="75" t="str">
        <f>DG!D36</f>
        <v>Statia 110/20 kV Roman Vest, jud. NT</v>
      </c>
      <c r="C37" s="89"/>
      <c r="D37" s="66"/>
    </row>
    <row r="38" spans="1:5" s="76" customFormat="1" ht="11.1" customHeight="1" x14ac:dyDescent="0.25">
      <c r="A38" s="69" t="s">
        <v>622</v>
      </c>
      <c r="B38" s="82" t="s">
        <v>186</v>
      </c>
      <c r="C38" s="118">
        <v>0</v>
      </c>
      <c r="D38" s="66">
        <f>C38</f>
        <v>0</v>
      </c>
    </row>
    <row r="39" spans="1:5" ht="11.1" customHeight="1" x14ac:dyDescent="0.25">
      <c r="A39" s="94" t="s">
        <v>187</v>
      </c>
      <c r="B39" s="98" t="s">
        <v>48</v>
      </c>
      <c r="C39" s="96">
        <v>0</v>
      </c>
      <c r="D39" s="71">
        <v>0</v>
      </c>
    </row>
    <row r="40" spans="1:5" x14ac:dyDescent="0.25">
      <c r="A40" s="103" t="s">
        <v>188</v>
      </c>
      <c r="B40" s="104" t="s">
        <v>189</v>
      </c>
      <c r="C40" s="105">
        <v>0</v>
      </c>
      <c r="D40" s="102">
        <v>0</v>
      </c>
    </row>
    <row r="41" spans="1:5" x14ac:dyDescent="0.25">
      <c r="A41" s="103" t="s">
        <v>190</v>
      </c>
      <c r="B41" s="104" t="s">
        <v>69</v>
      </c>
      <c r="C41" s="106">
        <f>SUM(C42:C47)</f>
        <v>0</v>
      </c>
      <c r="D41" s="106">
        <f>SUM(D42:D47)</f>
        <v>0</v>
      </c>
    </row>
    <row r="42" spans="1:5" ht="12" customHeight="1" x14ac:dyDescent="0.25">
      <c r="A42" s="74" t="s">
        <v>191</v>
      </c>
      <c r="B42" s="72" t="s">
        <v>192</v>
      </c>
      <c r="C42" s="73">
        <v>0</v>
      </c>
      <c r="D42" s="73">
        <v>0</v>
      </c>
    </row>
    <row r="43" spans="1:5" x14ac:dyDescent="0.25">
      <c r="A43" s="74" t="s">
        <v>193</v>
      </c>
      <c r="B43" s="72" t="s">
        <v>194</v>
      </c>
      <c r="C43" s="73">
        <v>0</v>
      </c>
      <c r="D43" s="73">
        <v>0</v>
      </c>
    </row>
    <row r="44" spans="1:5" ht="22.8" x14ac:dyDescent="0.25">
      <c r="A44" s="74" t="s">
        <v>195</v>
      </c>
      <c r="B44" s="83" t="s">
        <v>196</v>
      </c>
      <c r="C44" s="73">
        <v>0</v>
      </c>
      <c r="D44" s="73">
        <v>0</v>
      </c>
    </row>
    <row r="45" spans="1:5" ht="12" customHeight="1" x14ac:dyDescent="0.25">
      <c r="A45" s="74" t="s">
        <v>197</v>
      </c>
      <c r="B45" s="83" t="s">
        <v>198</v>
      </c>
      <c r="C45" s="73">
        <v>0</v>
      </c>
      <c r="D45" s="73">
        <v>0</v>
      </c>
    </row>
    <row r="46" spans="1:5" ht="12" customHeight="1" x14ac:dyDescent="0.25">
      <c r="A46" s="74" t="s">
        <v>199</v>
      </c>
      <c r="B46" s="83" t="s">
        <v>200</v>
      </c>
      <c r="C46" s="73">
        <v>0</v>
      </c>
      <c r="D46" s="73">
        <v>0</v>
      </c>
    </row>
    <row r="47" spans="1:5" x14ac:dyDescent="0.25">
      <c r="A47" s="74" t="s">
        <v>201</v>
      </c>
      <c r="B47" s="72" t="s">
        <v>202</v>
      </c>
      <c r="C47" s="73">
        <v>0</v>
      </c>
      <c r="D47" s="73">
        <v>0</v>
      </c>
    </row>
    <row r="48" spans="1:5" ht="10.199999999999999" customHeight="1" x14ac:dyDescent="0.25">
      <c r="A48" s="103" t="s">
        <v>203</v>
      </c>
      <c r="B48" s="104" t="s">
        <v>204</v>
      </c>
      <c r="C48" s="105">
        <f>C49+C98+C110</f>
        <v>0</v>
      </c>
      <c r="D48" s="105">
        <f>D49+D98+D110</f>
        <v>0</v>
      </c>
    </row>
    <row r="49" spans="1:8" x14ac:dyDescent="0.25">
      <c r="A49" s="94" t="s">
        <v>92</v>
      </c>
      <c r="B49" s="99" t="s">
        <v>157</v>
      </c>
      <c r="C49" s="68">
        <f>SUM(C51:C97)</f>
        <v>0</v>
      </c>
      <c r="D49" s="68">
        <f>SUM(D51:D97)</f>
        <v>0</v>
      </c>
    </row>
    <row r="50" spans="1:8" x14ac:dyDescent="0.25">
      <c r="A50" s="87" t="s">
        <v>100</v>
      </c>
      <c r="B50" s="79" t="str">
        <f>DG!D82</f>
        <v>Statia 110/20 kV Roman Vest, jud. NT</v>
      </c>
      <c r="C50" s="80"/>
      <c r="D50" s="90"/>
    </row>
    <row r="51" spans="1:8" x14ac:dyDescent="0.25">
      <c r="A51" s="146" t="s">
        <v>623</v>
      </c>
      <c r="B51" s="147" t="s">
        <v>912</v>
      </c>
      <c r="C51" s="148">
        <v>0</v>
      </c>
      <c r="D51" s="149">
        <f t="shared" ref="D51:D97" si="2">C51</f>
        <v>0</v>
      </c>
      <c r="E51" s="137" t="s">
        <v>677</v>
      </c>
      <c r="G51" s="137" t="s">
        <v>677</v>
      </c>
      <c r="H51" s="133">
        <f>C51+SUM(C54:C60)+SUM(C82:C86)</f>
        <v>0</v>
      </c>
    </row>
    <row r="52" spans="1:8" x14ac:dyDescent="0.25">
      <c r="A52" s="150" t="s">
        <v>624</v>
      </c>
      <c r="B52" s="151" t="s">
        <v>1721</v>
      </c>
      <c r="C52" s="152">
        <v>0</v>
      </c>
      <c r="D52" s="153">
        <f t="shared" si="2"/>
        <v>0</v>
      </c>
      <c r="E52" s="138" t="s">
        <v>678</v>
      </c>
      <c r="G52" s="138" t="s">
        <v>678</v>
      </c>
      <c r="H52" s="133">
        <f>C52+C68+C69+C87+C88+C92</f>
        <v>0</v>
      </c>
    </row>
    <row r="53" spans="1:8" x14ac:dyDescent="0.25">
      <c r="A53" s="190" t="s">
        <v>625</v>
      </c>
      <c r="B53" s="191" t="s">
        <v>427</v>
      </c>
      <c r="C53" s="188">
        <v>0</v>
      </c>
      <c r="D53" s="189">
        <f t="shared" si="2"/>
        <v>0</v>
      </c>
      <c r="E53" s="140" t="s">
        <v>680</v>
      </c>
      <c r="G53" s="139" t="s">
        <v>679</v>
      </c>
      <c r="H53" s="133">
        <f>C61+C62+SUM(C64:C67)+C70+C89+C91</f>
        <v>0</v>
      </c>
    </row>
    <row r="54" spans="1:8" x14ac:dyDescent="0.25">
      <c r="A54" s="146" t="s">
        <v>627</v>
      </c>
      <c r="B54" s="147" t="s">
        <v>314</v>
      </c>
      <c r="C54" s="148">
        <v>0</v>
      </c>
      <c r="D54" s="149">
        <f t="shared" si="2"/>
        <v>0</v>
      </c>
      <c r="E54" s="137" t="s">
        <v>677</v>
      </c>
      <c r="G54" s="140" t="s">
        <v>680</v>
      </c>
      <c r="H54" s="133">
        <f>C53+C63+SUM(C71:C81)+C90+SUM(C93:C96)</f>
        <v>0</v>
      </c>
    </row>
    <row r="55" spans="1:8" x14ac:dyDescent="0.25">
      <c r="A55" s="146" t="s">
        <v>629</v>
      </c>
      <c r="B55" s="147" t="s">
        <v>1664</v>
      </c>
      <c r="C55" s="148">
        <v>0</v>
      </c>
      <c r="D55" s="149">
        <f t="shared" si="2"/>
        <v>0</v>
      </c>
      <c r="E55" s="137" t="s">
        <v>677</v>
      </c>
      <c r="G55" s="141" t="s">
        <v>681</v>
      </c>
      <c r="H55" s="164">
        <f>C97</f>
        <v>0</v>
      </c>
    </row>
    <row r="56" spans="1:8" x14ac:dyDescent="0.25">
      <c r="A56" s="146" t="s">
        <v>630</v>
      </c>
      <c r="B56" s="147" t="s">
        <v>900</v>
      </c>
      <c r="C56" s="148">
        <v>0</v>
      </c>
      <c r="D56" s="149">
        <f t="shared" si="2"/>
        <v>0</v>
      </c>
      <c r="E56" s="137" t="s">
        <v>677</v>
      </c>
    </row>
    <row r="57" spans="1:8" x14ac:dyDescent="0.25">
      <c r="A57" s="146" t="s">
        <v>631</v>
      </c>
      <c r="B57" s="147" t="s">
        <v>1665</v>
      </c>
      <c r="C57" s="148">
        <v>0</v>
      </c>
      <c r="D57" s="149">
        <f t="shared" si="2"/>
        <v>0</v>
      </c>
      <c r="E57" s="137" t="s">
        <v>677</v>
      </c>
      <c r="H57" s="169">
        <f>C49-H51-H52-H53-H54-H55</f>
        <v>0</v>
      </c>
    </row>
    <row r="58" spans="1:8" x14ac:dyDescent="0.25">
      <c r="A58" s="146" t="s">
        <v>633</v>
      </c>
      <c r="B58" s="147" t="s">
        <v>1666</v>
      </c>
      <c r="C58" s="148">
        <v>0</v>
      </c>
      <c r="D58" s="149">
        <f t="shared" si="2"/>
        <v>0</v>
      </c>
      <c r="E58" s="137" t="s">
        <v>677</v>
      </c>
    </row>
    <row r="59" spans="1:8" x14ac:dyDescent="0.25">
      <c r="A59" s="146" t="s">
        <v>634</v>
      </c>
      <c r="B59" s="147" t="s">
        <v>1667</v>
      </c>
      <c r="C59" s="148">
        <v>0</v>
      </c>
      <c r="D59" s="149">
        <f t="shared" si="2"/>
        <v>0</v>
      </c>
      <c r="E59" s="137" t="s">
        <v>677</v>
      </c>
    </row>
    <row r="60" spans="1:8" x14ac:dyDescent="0.25">
      <c r="A60" s="146" t="s">
        <v>636</v>
      </c>
      <c r="B60" s="147" t="s">
        <v>1668</v>
      </c>
      <c r="C60" s="148">
        <v>0</v>
      </c>
      <c r="D60" s="149">
        <f t="shared" si="2"/>
        <v>0</v>
      </c>
      <c r="E60" s="137" t="s">
        <v>677</v>
      </c>
    </row>
    <row r="61" spans="1:8" x14ac:dyDescent="0.25">
      <c r="A61" s="154" t="s">
        <v>637</v>
      </c>
      <c r="B61" s="155" t="s">
        <v>1669</v>
      </c>
      <c r="C61" s="156">
        <v>0</v>
      </c>
      <c r="D61" s="157">
        <f t="shared" si="2"/>
        <v>0</v>
      </c>
      <c r="E61" s="139" t="s">
        <v>679</v>
      </c>
    </row>
    <row r="62" spans="1:8" x14ac:dyDescent="0.25">
      <c r="A62" s="154" t="s">
        <v>638</v>
      </c>
      <c r="B62" s="155" t="s">
        <v>1415</v>
      </c>
      <c r="C62" s="156">
        <v>0</v>
      </c>
      <c r="D62" s="157">
        <f t="shared" si="2"/>
        <v>0</v>
      </c>
      <c r="E62" s="139" t="s">
        <v>679</v>
      </c>
    </row>
    <row r="63" spans="1:8" x14ac:dyDescent="0.25">
      <c r="A63" s="190" t="s">
        <v>639</v>
      </c>
      <c r="B63" s="191" t="s">
        <v>1002</v>
      </c>
      <c r="C63" s="188">
        <v>0</v>
      </c>
      <c r="D63" s="189">
        <f t="shared" si="2"/>
        <v>0</v>
      </c>
      <c r="E63" s="140" t="s">
        <v>680</v>
      </c>
    </row>
    <row r="64" spans="1:8" x14ac:dyDescent="0.25">
      <c r="A64" s="154" t="s">
        <v>640</v>
      </c>
      <c r="B64" s="155" t="s">
        <v>996</v>
      </c>
      <c r="C64" s="156">
        <v>0</v>
      </c>
      <c r="D64" s="157">
        <f t="shared" si="2"/>
        <v>0</v>
      </c>
      <c r="E64" s="139" t="s">
        <v>679</v>
      </c>
    </row>
    <row r="65" spans="1:5" x14ac:dyDescent="0.25">
      <c r="A65" s="154" t="s">
        <v>641</v>
      </c>
      <c r="B65" s="155" t="s">
        <v>1722</v>
      </c>
      <c r="C65" s="156">
        <v>0</v>
      </c>
      <c r="D65" s="157">
        <f t="shared" si="2"/>
        <v>0</v>
      </c>
      <c r="E65" s="139" t="s">
        <v>679</v>
      </c>
    </row>
    <row r="66" spans="1:5" x14ac:dyDescent="0.25">
      <c r="A66" s="154" t="s">
        <v>642</v>
      </c>
      <c r="B66" s="155" t="s">
        <v>1432</v>
      </c>
      <c r="C66" s="156">
        <v>0</v>
      </c>
      <c r="D66" s="157">
        <f t="shared" si="2"/>
        <v>0</v>
      </c>
      <c r="E66" s="139" t="s">
        <v>679</v>
      </c>
    </row>
    <row r="67" spans="1:5" x14ac:dyDescent="0.25">
      <c r="A67" s="154" t="s">
        <v>643</v>
      </c>
      <c r="B67" s="155" t="s">
        <v>1723</v>
      </c>
      <c r="C67" s="156">
        <v>0</v>
      </c>
      <c r="D67" s="157">
        <f t="shared" si="2"/>
        <v>0</v>
      </c>
      <c r="E67" s="139" t="s">
        <v>679</v>
      </c>
    </row>
    <row r="68" spans="1:5" x14ac:dyDescent="0.25">
      <c r="A68" s="150" t="s">
        <v>644</v>
      </c>
      <c r="B68" s="151" t="s">
        <v>1010</v>
      </c>
      <c r="C68" s="152">
        <v>0</v>
      </c>
      <c r="D68" s="153">
        <f t="shared" si="2"/>
        <v>0</v>
      </c>
      <c r="E68" s="138" t="s">
        <v>678</v>
      </c>
    </row>
    <row r="69" spans="1:5" x14ac:dyDescent="0.25">
      <c r="A69" s="150" t="s">
        <v>645</v>
      </c>
      <c r="B69" s="151" t="s">
        <v>918</v>
      </c>
      <c r="C69" s="152">
        <v>0</v>
      </c>
      <c r="D69" s="153">
        <f t="shared" si="2"/>
        <v>0</v>
      </c>
      <c r="E69" s="138" t="s">
        <v>678</v>
      </c>
    </row>
    <row r="70" spans="1:5" x14ac:dyDescent="0.25">
      <c r="A70" s="154" t="s">
        <v>646</v>
      </c>
      <c r="B70" s="155" t="s">
        <v>1670</v>
      </c>
      <c r="C70" s="156">
        <v>0</v>
      </c>
      <c r="D70" s="157">
        <f t="shared" si="2"/>
        <v>0</v>
      </c>
      <c r="E70" s="139" t="s">
        <v>679</v>
      </c>
    </row>
    <row r="71" spans="1:5" x14ac:dyDescent="0.25">
      <c r="A71" s="190" t="s">
        <v>647</v>
      </c>
      <c r="B71" s="191" t="s">
        <v>1014</v>
      </c>
      <c r="C71" s="188">
        <v>0</v>
      </c>
      <c r="D71" s="189">
        <f t="shared" si="2"/>
        <v>0</v>
      </c>
      <c r="E71" s="140" t="s">
        <v>680</v>
      </c>
    </row>
    <row r="72" spans="1:5" x14ac:dyDescent="0.25">
      <c r="A72" s="190" t="s">
        <v>648</v>
      </c>
      <c r="B72" s="191" t="s">
        <v>1015</v>
      </c>
      <c r="C72" s="188">
        <v>0</v>
      </c>
      <c r="D72" s="189">
        <f t="shared" si="2"/>
        <v>0</v>
      </c>
      <c r="E72" s="140" t="s">
        <v>680</v>
      </c>
    </row>
    <row r="73" spans="1:5" x14ac:dyDescent="0.25">
      <c r="A73" s="190" t="s">
        <v>649</v>
      </c>
      <c r="B73" s="191" t="s">
        <v>1016</v>
      </c>
      <c r="C73" s="188">
        <v>0</v>
      </c>
      <c r="D73" s="189">
        <f t="shared" si="2"/>
        <v>0</v>
      </c>
      <c r="E73" s="140" t="s">
        <v>680</v>
      </c>
    </row>
    <row r="74" spans="1:5" x14ac:dyDescent="0.25">
      <c r="A74" s="190" t="s">
        <v>650</v>
      </c>
      <c r="B74" s="191" t="s">
        <v>436</v>
      </c>
      <c r="C74" s="188">
        <v>0</v>
      </c>
      <c r="D74" s="189">
        <f t="shared" si="2"/>
        <v>0</v>
      </c>
      <c r="E74" s="140" t="s">
        <v>680</v>
      </c>
    </row>
    <row r="75" spans="1:5" x14ac:dyDescent="0.25">
      <c r="A75" s="190" t="s">
        <v>651</v>
      </c>
      <c r="B75" s="191" t="s">
        <v>1724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90" t="s">
        <v>652</v>
      </c>
      <c r="B76" s="191" t="s">
        <v>1672</v>
      </c>
      <c r="C76" s="188">
        <v>0</v>
      </c>
      <c r="D76" s="189">
        <f t="shared" si="2"/>
        <v>0</v>
      </c>
      <c r="E76" s="140" t="s">
        <v>680</v>
      </c>
    </row>
    <row r="77" spans="1:5" x14ac:dyDescent="0.25">
      <c r="A77" s="190" t="s">
        <v>653</v>
      </c>
      <c r="B77" s="191" t="s">
        <v>426</v>
      </c>
      <c r="C77" s="188">
        <v>0</v>
      </c>
      <c r="D77" s="189">
        <f t="shared" si="2"/>
        <v>0</v>
      </c>
      <c r="E77" s="140" t="s">
        <v>680</v>
      </c>
    </row>
    <row r="78" spans="1:5" x14ac:dyDescent="0.25">
      <c r="A78" s="190" t="s">
        <v>654</v>
      </c>
      <c r="B78" s="191" t="s">
        <v>1673</v>
      </c>
      <c r="C78" s="188">
        <v>0</v>
      </c>
      <c r="D78" s="189">
        <f t="shared" si="2"/>
        <v>0</v>
      </c>
      <c r="E78" s="140" t="s">
        <v>680</v>
      </c>
    </row>
    <row r="79" spans="1:5" x14ac:dyDescent="0.25">
      <c r="A79" s="190" t="s">
        <v>655</v>
      </c>
      <c r="B79" s="191" t="s">
        <v>920</v>
      </c>
      <c r="C79" s="188">
        <v>0</v>
      </c>
      <c r="D79" s="189">
        <f t="shared" si="2"/>
        <v>0</v>
      </c>
      <c r="E79" s="140" t="s">
        <v>680</v>
      </c>
    </row>
    <row r="80" spans="1:5" x14ac:dyDescent="0.25">
      <c r="A80" s="190" t="s">
        <v>656</v>
      </c>
      <c r="B80" s="191" t="s">
        <v>1019</v>
      </c>
      <c r="C80" s="188">
        <v>0</v>
      </c>
      <c r="D80" s="189">
        <f t="shared" si="2"/>
        <v>0</v>
      </c>
      <c r="E80" s="140" t="s">
        <v>680</v>
      </c>
    </row>
    <row r="81" spans="1:6" x14ac:dyDescent="0.25">
      <c r="A81" s="190" t="s">
        <v>657</v>
      </c>
      <c r="B81" s="191" t="s">
        <v>430</v>
      </c>
      <c r="C81" s="188">
        <v>0</v>
      </c>
      <c r="D81" s="189">
        <f t="shared" si="2"/>
        <v>0</v>
      </c>
      <c r="E81" s="140" t="s">
        <v>680</v>
      </c>
    </row>
    <row r="82" spans="1:6" x14ac:dyDescent="0.25">
      <c r="A82" s="146" t="s">
        <v>658</v>
      </c>
      <c r="B82" s="147" t="s">
        <v>1675</v>
      </c>
      <c r="C82" s="148">
        <v>0</v>
      </c>
      <c r="D82" s="149">
        <f t="shared" si="2"/>
        <v>0</v>
      </c>
      <c r="E82" s="137" t="s">
        <v>677</v>
      </c>
    </row>
    <row r="83" spans="1:6" x14ac:dyDescent="0.25">
      <c r="A83" s="146" t="s">
        <v>659</v>
      </c>
      <c r="B83" s="147" t="s">
        <v>1676</v>
      </c>
      <c r="C83" s="148">
        <v>0</v>
      </c>
      <c r="D83" s="149">
        <f t="shared" si="2"/>
        <v>0</v>
      </c>
      <c r="E83" s="137" t="s">
        <v>677</v>
      </c>
    </row>
    <row r="84" spans="1:6" x14ac:dyDescent="0.25">
      <c r="A84" s="146" t="s">
        <v>660</v>
      </c>
      <c r="B84" s="147" t="s">
        <v>1677</v>
      </c>
      <c r="C84" s="148">
        <v>0</v>
      </c>
      <c r="D84" s="149">
        <f t="shared" si="2"/>
        <v>0</v>
      </c>
      <c r="E84" s="137" t="s">
        <v>677</v>
      </c>
    </row>
    <row r="85" spans="1:6" x14ac:dyDescent="0.25">
      <c r="A85" s="146" t="s">
        <v>661</v>
      </c>
      <c r="B85" s="147" t="s">
        <v>1678</v>
      </c>
      <c r="C85" s="148">
        <v>0</v>
      </c>
      <c r="D85" s="149">
        <f t="shared" si="2"/>
        <v>0</v>
      </c>
      <c r="E85" s="137" t="s">
        <v>677</v>
      </c>
    </row>
    <row r="86" spans="1:6" x14ac:dyDescent="0.25">
      <c r="A86" s="146" t="s">
        <v>662</v>
      </c>
      <c r="B86" s="147" t="s">
        <v>1418</v>
      </c>
      <c r="C86" s="148">
        <v>0</v>
      </c>
      <c r="D86" s="149">
        <f t="shared" si="2"/>
        <v>0</v>
      </c>
      <c r="E86" s="137" t="s">
        <v>677</v>
      </c>
    </row>
    <row r="87" spans="1:6" x14ac:dyDescent="0.25">
      <c r="A87" s="150" t="s">
        <v>663</v>
      </c>
      <c r="B87" s="151" t="s">
        <v>1679</v>
      </c>
      <c r="C87" s="152">
        <v>0</v>
      </c>
      <c r="D87" s="153">
        <f t="shared" si="2"/>
        <v>0</v>
      </c>
      <c r="E87" s="138" t="s">
        <v>678</v>
      </c>
    </row>
    <row r="88" spans="1:6" x14ac:dyDescent="0.25">
      <c r="A88" s="150" t="s">
        <v>664</v>
      </c>
      <c r="B88" s="151" t="s">
        <v>511</v>
      </c>
      <c r="C88" s="152">
        <v>0</v>
      </c>
      <c r="D88" s="153">
        <f t="shared" si="2"/>
        <v>0</v>
      </c>
      <c r="E88" s="138" t="s">
        <v>678</v>
      </c>
    </row>
    <row r="89" spans="1:6" x14ac:dyDescent="0.25">
      <c r="A89" s="154" t="s">
        <v>665</v>
      </c>
      <c r="B89" s="155" t="s">
        <v>1431</v>
      </c>
      <c r="C89" s="156">
        <v>0</v>
      </c>
      <c r="D89" s="157">
        <f t="shared" si="2"/>
        <v>0</v>
      </c>
      <c r="E89" s="139" t="s">
        <v>679</v>
      </c>
    </row>
    <row r="90" spans="1:6" x14ac:dyDescent="0.25">
      <c r="A90" s="190" t="s">
        <v>666</v>
      </c>
      <c r="B90" s="191" t="s">
        <v>1427</v>
      </c>
      <c r="C90" s="188">
        <v>0</v>
      </c>
      <c r="D90" s="189">
        <f t="shared" si="2"/>
        <v>0</v>
      </c>
      <c r="E90" s="140" t="s">
        <v>680</v>
      </c>
    </row>
    <row r="91" spans="1:6" x14ac:dyDescent="0.25">
      <c r="A91" s="154" t="s">
        <v>667</v>
      </c>
      <c r="B91" s="155" t="s">
        <v>1428</v>
      </c>
      <c r="C91" s="156">
        <v>0</v>
      </c>
      <c r="D91" s="157">
        <f t="shared" si="2"/>
        <v>0</v>
      </c>
      <c r="E91" s="139" t="s">
        <v>679</v>
      </c>
    </row>
    <row r="92" spans="1:6" x14ac:dyDescent="0.25">
      <c r="A92" s="150" t="s">
        <v>668</v>
      </c>
      <c r="B92" s="151" t="s">
        <v>1429</v>
      </c>
      <c r="C92" s="152">
        <v>0</v>
      </c>
      <c r="D92" s="153">
        <f t="shared" si="2"/>
        <v>0</v>
      </c>
      <c r="E92" s="138" t="s">
        <v>678</v>
      </c>
    </row>
    <row r="93" spans="1:6" x14ac:dyDescent="0.25">
      <c r="A93" s="190" t="s">
        <v>669</v>
      </c>
      <c r="B93" s="191" t="s">
        <v>1680</v>
      </c>
      <c r="C93" s="188">
        <v>0</v>
      </c>
      <c r="D93" s="189">
        <f t="shared" si="2"/>
        <v>0</v>
      </c>
      <c r="E93" s="140" t="s">
        <v>680</v>
      </c>
    </row>
    <row r="94" spans="1:6" x14ac:dyDescent="0.25">
      <c r="A94" s="190" t="s">
        <v>670</v>
      </c>
      <c r="B94" s="191" t="s">
        <v>322</v>
      </c>
      <c r="C94" s="188">
        <v>0</v>
      </c>
      <c r="D94" s="189">
        <f t="shared" si="2"/>
        <v>0</v>
      </c>
      <c r="E94" s="140" t="s">
        <v>680</v>
      </c>
    </row>
    <row r="95" spans="1:6" x14ac:dyDescent="0.25">
      <c r="A95" s="190" t="s">
        <v>671</v>
      </c>
      <c r="B95" s="191" t="s">
        <v>429</v>
      </c>
      <c r="C95" s="188">
        <v>0</v>
      </c>
      <c r="D95" s="189">
        <f t="shared" si="2"/>
        <v>0</v>
      </c>
      <c r="E95" s="140" t="s">
        <v>680</v>
      </c>
    </row>
    <row r="96" spans="1:6" x14ac:dyDescent="0.25">
      <c r="A96" s="190" t="s">
        <v>672</v>
      </c>
      <c r="B96" s="191" t="s">
        <v>256</v>
      </c>
      <c r="C96" s="188">
        <v>0</v>
      </c>
      <c r="D96" s="189">
        <f t="shared" si="2"/>
        <v>0</v>
      </c>
      <c r="E96" s="140" t="s">
        <v>680</v>
      </c>
      <c r="F96" s="67" t="s">
        <v>163</v>
      </c>
    </row>
    <row r="97" spans="1:8" x14ac:dyDescent="0.25">
      <c r="A97" s="142" t="s">
        <v>673</v>
      </c>
      <c r="B97" s="143" t="s">
        <v>1021</v>
      </c>
      <c r="C97" s="144">
        <v>0</v>
      </c>
      <c r="D97" s="145">
        <f t="shared" si="2"/>
        <v>0</v>
      </c>
      <c r="E97" s="141" t="s">
        <v>681</v>
      </c>
      <c r="F97" s="67" t="s">
        <v>158</v>
      </c>
    </row>
    <row r="98" spans="1:8" x14ac:dyDescent="0.25">
      <c r="A98" s="94" t="s">
        <v>101</v>
      </c>
      <c r="B98" s="99" t="s">
        <v>261</v>
      </c>
      <c r="C98" s="68">
        <f>SUM(C100:C109)</f>
        <v>0</v>
      </c>
      <c r="D98" s="68">
        <f>SUM(D100:D109)</f>
        <v>0</v>
      </c>
    </row>
    <row r="99" spans="1:8" x14ac:dyDescent="0.25">
      <c r="A99" s="87" t="s">
        <v>109</v>
      </c>
      <c r="B99" s="111" t="str">
        <f>DG!D95</f>
        <v>Statia 110/20 kV Roman Vest, jud. NT</v>
      </c>
      <c r="C99" s="89"/>
      <c r="D99" s="90"/>
    </row>
    <row r="100" spans="1:8" x14ac:dyDescent="0.25">
      <c r="A100" s="158" t="s">
        <v>1726</v>
      </c>
      <c r="B100" s="179" t="s">
        <v>1735</v>
      </c>
      <c r="C100" s="148">
        <v>0</v>
      </c>
      <c r="D100" s="149">
        <f t="shared" ref="D100:D109" si="3">C100</f>
        <v>0</v>
      </c>
      <c r="E100" s="137" t="s">
        <v>677</v>
      </c>
      <c r="G100" s="137" t="s">
        <v>677</v>
      </c>
      <c r="H100" s="133">
        <f>C100</f>
        <v>0</v>
      </c>
    </row>
    <row r="101" spans="1:8" x14ac:dyDescent="0.25">
      <c r="A101" s="162" t="s">
        <v>1727</v>
      </c>
      <c r="B101" s="180" t="s">
        <v>1736</v>
      </c>
      <c r="C101" s="152">
        <v>0</v>
      </c>
      <c r="D101" s="153">
        <f t="shared" si="3"/>
        <v>0</v>
      </c>
      <c r="E101" s="138" t="s">
        <v>678</v>
      </c>
      <c r="G101" s="138" t="s">
        <v>678</v>
      </c>
      <c r="H101" s="133">
        <f>C101+SUM(C103:C105)</f>
        <v>0</v>
      </c>
    </row>
    <row r="102" spans="1:8" x14ac:dyDescent="0.25">
      <c r="A102" s="160" t="s">
        <v>1728</v>
      </c>
      <c r="B102" s="181" t="s">
        <v>1694</v>
      </c>
      <c r="C102" s="156">
        <v>0</v>
      </c>
      <c r="D102" s="157">
        <f t="shared" si="3"/>
        <v>0</v>
      </c>
      <c r="E102" s="139" t="s">
        <v>679</v>
      </c>
      <c r="G102" s="139" t="s">
        <v>679</v>
      </c>
      <c r="H102" s="133">
        <f>C102+C106+C108</f>
        <v>0</v>
      </c>
    </row>
    <row r="103" spans="1:8" x14ac:dyDescent="0.25">
      <c r="A103" s="162" t="s">
        <v>1729</v>
      </c>
      <c r="B103" s="180" t="s">
        <v>1695</v>
      </c>
      <c r="C103" s="152">
        <v>0</v>
      </c>
      <c r="D103" s="153">
        <f t="shared" si="3"/>
        <v>0</v>
      </c>
      <c r="E103" s="138" t="s">
        <v>678</v>
      </c>
      <c r="G103" s="140" t="s">
        <v>680</v>
      </c>
      <c r="H103" s="133">
        <f>C107+C109</f>
        <v>0</v>
      </c>
    </row>
    <row r="104" spans="1:8" x14ac:dyDescent="0.25">
      <c r="A104" s="162" t="s">
        <v>1725</v>
      </c>
      <c r="B104" s="180" t="s">
        <v>1696</v>
      </c>
      <c r="C104" s="152">
        <v>0</v>
      </c>
      <c r="D104" s="153">
        <f t="shared" si="3"/>
        <v>0</v>
      </c>
      <c r="E104" s="138" t="s">
        <v>678</v>
      </c>
    </row>
    <row r="105" spans="1:8" x14ac:dyDescent="0.25">
      <c r="A105" s="162" t="s">
        <v>1730</v>
      </c>
      <c r="B105" s="180" t="s">
        <v>1697</v>
      </c>
      <c r="C105" s="152">
        <v>0</v>
      </c>
      <c r="D105" s="153">
        <f t="shared" si="3"/>
        <v>0</v>
      </c>
      <c r="E105" s="138" t="s">
        <v>678</v>
      </c>
      <c r="H105" s="169">
        <f>C98-H100-H101-H102-H103</f>
        <v>0</v>
      </c>
    </row>
    <row r="106" spans="1:8" x14ac:dyDescent="0.25">
      <c r="A106" s="160" t="s">
        <v>1731</v>
      </c>
      <c r="B106" s="181" t="s">
        <v>1699</v>
      </c>
      <c r="C106" s="156">
        <v>0</v>
      </c>
      <c r="D106" s="157">
        <f t="shared" si="3"/>
        <v>0</v>
      </c>
      <c r="E106" s="139" t="s">
        <v>679</v>
      </c>
    </row>
    <row r="107" spans="1:8" x14ac:dyDescent="0.25">
      <c r="A107" s="194" t="s">
        <v>1732</v>
      </c>
      <c r="B107" s="205" t="s">
        <v>1700</v>
      </c>
      <c r="C107" s="188">
        <v>0</v>
      </c>
      <c r="D107" s="189">
        <f t="shared" si="3"/>
        <v>0</v>
      </c>
      <c r="E107" s="140" t="s">
        <v>680</v>
      </c>
    </row>
    <row r="108" spans="1:8" x14ac:dyDescent="0.25">
      <c r="A108" s="160" t="s">
        <v>1733</v>
      </c>
      <c r="B108" s="181" t="s">
        <v>1701</v>
      </c>
      <c r="C108" s="156">
        <v>0</v>
      </c>
      <c r="D108" s="157">
        <f t="shared" si="3"/>
        <v>0</v>
      </c>
      <c r="E108" s="139" t="s">
        <v>679</v>
      </c>
    </row>
    <row r="109" spans="1:8" x14ac:dyDescent="0.25">
      <c r="A109" s="194" t="s">
        <v>1734</v>
      </c>
      <c r="B109" s="205" t="s">
        <v>431</v>
      </c>
      <c r="C109" s="188">
        <v>0</v>
      </c>
      <c r="D109" s="189">
        <f t="shared" si="3"/>
        <v>0</v>
      </c>
      <c r="E109" s="140" t="s">
        <v>680</v>
      </c>
    </row>
    <row r="110" spans="1:8" x14ac:dyDescent="0.25">
      <c r="A110" s="94" t="s">
        <v>110</v>
      </c>
      <c r="B110" s="99" t="s">
        <v>270</v>
      </c>
      <c r="C110" s="68">
        <f>SUM(C112:C123)</f>
        <v>0</v>
      </c>
      <c r="D110" s="68">
        <f>SUM(D112:D123)</f>
        <v>0</v>
      </c>
    </row>
    <row r="111" spans="1:8" x14ac:dyDescent="0.25">
      <c r="A111" s="88" t="s">
        <v>118</v>
      </c>
      <c r="B111" s="111" t="str">
        <f>DG!D108</f>
        <v>Statia 110/20 kV Roman Vest, jud. NT</v>
      </c>
      <c r="C111" s="89"/>
      <c r="D111" s="90"/>
    </row>
    <row r="112" spans="1:8" x14ac:dyDescent="0.25">
      <c r="A112" s="158" t="s">
        <v>1737</v>
      </c>
      <c r="B112" s="147" t="s">
        <v>1455</v>
      </c>
      <c r="C112" s="148">
        <v>0</v>
      </c>
      <c r="D112" s="159">
        <v>0</v>
      </c>
      <c r="E112" s="137" t="s">
        <v>677</v>
      </c>
      <c r="G112" s="137" t="s">
        <v>677</v>
      </c>
      <c r="H112" s="164">
        <f>C112</f>
        <v>0</v>
      </c>
    </row>
    <row r="113" spans="1:8" ht="12" customHeight="1" x14ac:dyDescent="0.25">
      <c r="A113" s="162" t="s">
        <v>1738</v>
      </c>
      <c r="B113" s="151" t="s">
        <v>1713</v>
      </c>
      <c r="C113" s="152">
        <v>0</v>
      </c>
      <c r="D113" s="163">
        <v>0</v>
      </c>
      <c r="E113" s="138" t="s">
        <v>678</v>
      </c>
      <c r="G113" s="138" t="s">
        <v>678</v>
      </c>
      <c r="H113" s="133">
        <f>C113+C115+C120</f>
        <v>0</v>
      </c>
    </row>
    <row r="114" spans="1:8" ht="12" customHeight="1" x14ac:dyDescent="0.25">
      <c r="A114" s="160" t="s">
        <v>1739</v>
      </c>
      <c r="B114" s="155" t="s">
        <v>1592</v>
      </c>
      <c r="C114" s="156">
        <v>0</v>
      </c>
      <c r="D114" s="161">
        <v>0</v>
      </c>
      <c r="E114" s="139" t="s">
        <v>679</v>
      </c>
      <c r="G114" s="139" t="s">
        <v>679</v>
      </c>
      <c r="H114" s="133">
        <f>C114+C117+C121</f>
        <v>0</v>
      </c>
    </row>
    <row r="115" spans="1:8" x14ac:dyDescent="0.25">
      <c r="A115" s="162" t="s">
        <v>1740</v>
      </c>
      <c r="B115" s="151" t="s">
        <v>1714</v>
      </c>
      <c r="C115" s="152">
        <v>0</v>
      </c>
      <c r="D115" s="163">
        <v>0</v>
      </c>
      <c r="E115" s="138" t="s">
        <v>678</v>
      </c>
      <c r="G115" s="140" t="s">
        <v>680</v>
      </c>
      <c r="H115" s="133">
        <f>C116+C118+C119+C122+C123</f>
        <v>0</v>
      </c>
    </row>
    <row r="116" spans="1:8" x14ac:dyDescent="0.25">
      <c r="A116" s="194" t="s">
        <v>1741</v>
      </c>
      <c r="B116" s="191" t="s">
        <v>1593</v>
      </c>
      <c r="C116" s="188">
        <v>0</v>
      </c>
      <c r="D116" s="197">
        <v>0</v>
      </c>
      <c r="E116" s="140" t="s">
        <v>680</v>
      </c>
    </row>
    <row r="117" spans="1:8" ht="12" customHeight="1" x14ac:dyDescent="0.25">
      <c r="A117" s="160" t="s">
        <v>1742</v>
      </c>
      <c r="B117" s="155" t="s">
        <v>1715</v>
      </c>
      <c r="C117" s="156">
        <v>0</v>
      </c>
      <c r="D117" s="161">
        <v>0</v>
      </c>
      <c r="E117" s="139" t="s">
        <v>679</v>
      </c>
      <c r="H117" s="169">
        <f>C110-H112-H113-H114-H115</f>
        <v>0</v>
      </c>
    </row>
    <row r="118" spans="1:8" ht="12" customHeight="1" x14ac:dyDescent="0.25">
      <c r="A118" s="194" t="s">
        <v>1743</v>
      </c>
      <c r="B118" s="191" t="s">
        <v>1595</v>
      </c>
      <c r="C118" s="188">
        <v>0</v>
      </c>
      <c r="D118" s="197">
        <v>0</v>
      </c>
      <c r="E118" s="140" t="s">
        <v>680</v>
      </c>
    </row>
    <row r="119" spans="1:8" ht="12" customHeight="1" x14ac:dyDescent="0.25">
      <c r="A119" s="194" t="s">
        <v>1744</v>
      </c>
      <c r="B119" s="191" t="s">
        <v>1596</v>
      </c>
      <c r="C119" s="188">
        <v>0</v>
      </c>
      <c r="D119" s="197">
        <v>0</v>
      </c>
      <c r="E119" s="140" t="s">
        <v>680</v>
      </c>
    </row>
    <row r="120" spans="1:8" ht="12" customHeight="1" x14ac:dyDescent="0.25">
      <c r="A120" s="162" t="s">
        <v>1745</v>
      </c>
      <c r="B120" s="151" t="s">
        <v>1597</v>
      </c>
      <c r="C120" s="152">
        <v>0</v>
      </c>
      <c r="D120" s="163">
        <v>0</v>
      </c>
      <c r="E120" s="138" t="s">
        <v>678</v>
      </c>
    </row>
    <row r="121" spans="1:8" ht="12" customHeight="1" x14ac:dyDescent="0.25">
      <c r="A121" s="160" t="s">
        <v>1746</v>
      </c>
      <c r="B121" s="155" t="s">
        <v>1462</v>
      </c>
      <c r="C121" s="156">
        <v>0</v>
      </c>
      <c r="D121" s="161">
        <v>0</v>
      </c>
      <c r="E121" s="139" t="s">
        <v>679</v>
      </c>
    </row>
    <row r="122" spans="1:8" ht="12" customHeight="1" x14ac:dyDescent="0.25">
      <c r="A122" s="194" t="s">
        <v>1747</v>
      </c>
      <c r="B122" s="191" t="s">
        <v>1463</v>
      </c>
      <c r="C122" s="188">
        <v>0</v>
      </c>
      <c r="D122" s="197">
        <v>0</v>
      </c>
      <c r="E122" s="140" t="s">
        <v>680</v>
      </c>
    </row>
    <row r="123" spans="1:8" ht="12" customHeight="1" x14ac:dyDescent="0.25">
      <c r="A123" s="194" t="s">
        <v>1748</v>
      </c>
      <c r="B123" s="191" t="s">
        <v>1464</v>
      </c>
      <c r="C123" s="188">
        <v>0</v>
      </c>
      <c r="D123" s="197">
        <v>0</v>
      </c>
      <c r="E123" s="140" t="s">
        <v>680</v>
      </c>
    </row>
    <row r="124" spans="1:8" ht="12" customHeight="1" x14ac:dyDescent="0.25">
      <c r="A124" s="74" t="s">
        <v>119</v>
      </c>
      <c r="B124" s="83" t="s">
        <v>282</v>
      </c>
      <c r="C124" s="73">
        <v>0</v>
      </c>
      <c r="D124" s="73">
        <v>0</v>
      </c>
    </row>
    <row r="125" spans="1:8" x14ac:dyDescent="0.25">
      <c r="A125" s="74" t="s">
        <v>121</v>
      </c>
      <c r="B125" s="72" t="s">
        <v>283</v>
      </c>
      <c r="C125" s="73">
        <v>0</v>
      </c>
      <c r="D125" s="73">
        <v>0</v>
      </c>
    </row>
    <row r="126" spans="1:8" x14ac:dyDescent="0.25">
      <c r="A126" s="74" t="s">
        <v>123</v>
      </c>
      <c r="B126" s="72" t="s">
        <v>284</v>
      </c>
      <c r="C126" s="73">
        <v>0</v>
      </c>
      <c r="D126" s="73">
        <v>0</v>
      </c>
    </row>
    <row r="127" spans="1:8" x14ac:dyDescent="0.25">
      <c r="A127" s="74" t="s">
        <v>127</v>
      </c>
      <c r="B127" s="72" t="s">
        <v>285</v>
      </c>
      <c r="C127" s="73">
        <v>0</v>
      </c>
      <c r="D127" s="73">
        <v>0</v>
      </c>
    </row>
    <row r="128" spans="1:8" x14ac:dyDescent="0.25">
      <c r="A128" s="74" t="s">
        <v>286</v>
      </c>
      <c r="B128" s="77" t="s">
        <v>287</v>
      </c>
      <c r="C128" s="73">
        <v>0</v>
      </c>
      <c r="D128" s="73">
        <v>0</v>
      </c>
    </row>
    <row r="129" spans="1:4" x14ac:dyDescent="0.25">
      <c r="A129" s="74" t="s">
        <v>288</v>
      </c>
      <c r="B129" s="72" t="s">
        <v>289</v>
      </c>
      <c r="C129" s="73">
        <v>0</v>
      </c>
      <c r="D129" s="73">
        <v>0</v>
      </c>
    </row>
    <row r="130" spans="1:4" x14ac:dyDescent="0.25">
      <c r="A130" s="74" t="s">
        <v>150</v>
      </c>
      <c r="B130" s="72" t="s">
        <v>290</v>
      </c>
      <c r="C130" s="73">
        <v>0</v>
      </c>
      <c r="D130" s="73">
        <v>0</v>
      </c>
    </row>
    <row r="131" spans="1:4" x14ac:dyDescent="0.25">
      <c r="A131" s="274" t="s">
        <v>291</v>
      </c>
      <c r="B131" s="274"/>
      <c r="C131" s="73">
        <f>C13+C40+C41+C48</f>
        <v>0</v>
      </c>
      <c r="D131" s="73">
        <f>D13+D40+D41+D48</f>
        <v>0</v>
      </c>
    </row>
    <row r="132" spans="1:4" x14ac:dyDescent="0.25">
      <c r="A132" s="274" t="s">
        <v>292</v>
      </c>
      <c r="B132" s="274"/>
      <c r="C132" s="73">
        <f>C131*19%</f>
        <v>0</v>
      </c>
      <c r="D132" s="73">
        <f>D131*19%</f>
        <v>0</v>
      </c>
    </row>
    <row r="133" spans="1:4" x14ac:dyDescent="0.25">
      <c r="A133" s="274" t="s">
        <v>293</v>
      </c>
      <c r="B133" s="274"/>
      <c r="C133" s="73">
        <f>C131+C132</f>
        <v>0</v>
      </c>
      <c r="D133" s="73">
        <f>D131+D132</f>
        <v>0</v>
      </c>
    </row>
  </sheetData>
  <mergeCells count="12">
    <mergeCell ref="A10:A11"/>
    <mergeCell ref="B10:B11"/>
    <mergeCell ref="A131:B131"/>
    <mergeCell ref="A132:B132"/>
    <mergeCell ref="A133:B133"/>
    <mergeCell ref="A9:B9"/>
    <mergeCell ref="A1:B1"/>
    <mergeCell ref="A2:B2"/>
    <mergeCell ref="A3:D3"/>
    <mergeCell ref="A4:D4"/>
    <mergeCell ref="B6:D6"/>
    <mergeCell ref="C9:D9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1497-2FE3-4C00-AF5F-FB69EB94BEEA}">
  <dimension ref="A1:H140"/>
  <sheetViews>
    <sheetView zoomScale="160" zoomScaleNormal="160" zoomScaleSheetLayoutView="100" workbookViewId="0">
      <selection activeCell="C131" sqref="C131"/>
    </sheetView>
  </sheetViews>
  <sheetFormatPr defaultRowHeight="12" x14ac:dyDescent="0.25"/>
  <cols>
    <col min="1" max="1" width="6.09765625" style="81" customWidth="1"/>
    <col min="2" max="2" width="60.3984375" style="67" customWidth="1"/>
    <col min="3" max="3" width="11.09765625" style="67" customWidth="1"/>
    <col min="4" max="4" width="10.69921875" style="67" customWidth="1"/>
    <col min="5" max="5" width="10.09765625" style="67" customWidth="1"/>
    <col min="6" max="6" width="8.69921875" style="67"/>
    <col min="7" max="7" width="10.8984375" style="67" customWidth="1"/>
    <col min="8" max="8" width="10.199218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DG!D83</f>
        <v>Statia 110/20 kV Delnita, jud. SV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C14+C15+C37+C40</f>
        <v>0</v>
      </c>
      <c r="D13" s="102">
        <f>D14+D15+D37+D40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SUM(C17:C36)</f>
        <v>0</v>
      </c>
      <c r="D15" s="68">
        <f>SUM(D17:D36)</f>
        <v>0</v>
      </c>
    </row>
    <row r="16" spans="1:5" x14ac:dyDescent="0.25">
      <c r="A16" s="109" t="s">
        <v>731</v>
      </c>
      <c r="B16" s="70" t="str">
        <f>DG!D24</f>
        <v>Statia 110/20 kV Delnita, jud. SV</v>
      </c>
      <c r="C16" s="66"/>
      <c r="D16" s="66"/>
    </row>
    <row r="17" spans="1:8" x14ac:dyDescent="0.25">
      <c r="A17" s="174" t="s">
        <v>1022</v>
      </c>
      <c r="B17" s="147" t="s">
        <v>1035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C17+C18+C19+C20+C21+C22+C23+C26+C27+C32</f>
        <v>0</v>
      </c>
    </row>
    <row r="18" spans="1:8" ht="11.1" customHeight="1" x14ac:dyDescent="0.25">
      <c r="A18" s="174" t="s">
        <v>1023</v>
      </c>
      <c r="B18" s="147" t="s">
        <v>521</v>
      </c>
      <c r="C18" s="148">
        <v>0</v>
      </c>
      <c r="D18" s="149">
        <f t="shared" ref="D18:D28" si="0">C18</f>
        <v>0</v>
      </c>
      <c r="E18" s="137" t="s">
        <v>677</v>
      </c>
      <c r="G18" s="138" t="s">
        <v>678</v>
      </c>
      <c r="H18" s="164">
        <f>C33</f>
        <v>0</v>
      </c>
    </row>
    <row r="19" spans="1:8" ht="11.1" customHeight="1" x14ac:dyDescent="0.25">
      <c r="A19" s="174" t="s">
        <v>1024</v>
      </c>
      <c r="B19" s="147" t="s">
        <v>522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C24+C25+SUM(C28:C31)+SUM(C34:C36)</f>
        <v>0</v>
      </c>
    </row>
    <row r="20" spans="1:8" ht="11.1" customHeight="1" x14ac:dyDescent="0.25">
      <c r="A20" s="174" t="s">
        <v>1025</v>
      </c>
      <c r="B20" s="147" t="s">
        <v>523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64">
        <f>0</f>
        <v>0</v>
      </c>
    </row>
    <row r="21" spans="1:8" ht="11.1" customHeight="1" x14ac:dyDescent="0.25">
      <c r="A21" s="174" t="s">
        <v>1026</v>
      </c>
      <c r="B21" s="147" t="s">
        <v>524</v>
      </c>
      <c r="C21" s="148">
        <v>0</v>
      </c>
      <c r="D21" s="149">
        <f t="shared" si="0"/>
        <v>0</v>
      </c>
      <c r="E21" s="137" t="s">
        <v>677</v>
      </c>
    </row>
    <row r="22" spans="1:8" ht="11.1" customHeight="1" x14ac:dyDescent="0.25">
      <c r="A22" s="174" t="s">
        <v>1027</v>
      </c>
      <c r="B22" s="147" t="s">
        <v>525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ht="11.1" customHeight="1" x14ac:dyDescent="0.25">
      <c r="A23" s="174" t="s">
        <v>1028</v>
      </c>
      <c r="B23" s="147" t="s">
        <v>526</v>
      </c>
      <c r="C23" s="148">
        <v>0</v>
      </c>
      <c r="D23" s="149">
        <f t="shared" si="0"/>
        <v>0</v>
      </c>
      <c r="E23" s="137" t="s">
        <v>677</v>
      </c>
    </row>
    <row r="24" spans="1:8" ht="11.1" customHeight="1" x14ac:dyDescent="0.25">
      <c r="A24" s="175" t="s">
        <v>1029</v>
      </c>
      <c r="B24" s="155" t="s">
        <v>466</v>
      </c>
      <c r="C24" s="156">
        <v>0</v>
      </c>
      <c r="D24" s="157">
        <f t="shared" si="0"/>
        <v>0</v>
      </c>
      <c r="E24" s="139" t="s">
        <v>679</v>
      </c>
    </row>
    <row r="25" spans="1:8" ht="11.1" customHeight="1" x14ac:dyDescent="0.25">
      <c r="A25" s="175" t="s">
        <v>1030</v>
      </c>
      <c r="B25" s="155" t="s">
        <v>527</v>
      </c>
      <c r="C25" s="156">
        <v>0</v>
      </c>
      <c r="D25" s="157">
        <f t="shared" si="0"/>
        <v>0</v>
      </c>
      <c r="E25" s="139" t="s">
        <v>679</v>
      </c>
    </row>
    <row r="26" spans="1:8" ht="11.1" customHeight="1" x14ac:dyDescent="0.25">
      <c r="A26" s="174" t="s">
        <v>1031</v>
      </c>
      <c r="B26" s="147" t="s">
        <v>349</v>
      </c>
      <c r="C26" s="148">
        <v>0</v>
      </c>
      <c r="D26" s="149">
        <f t="shared" si="0"/>
        <v>0</v>
      </c>
      <c r="E26" s="137" t="s">
        <v>677</v>
      </c>
    </row>
    <row r="27" spans="1:8" ht="11.1" customHeight="1" x14ac:dyDescent="0.25">
      <c r="A27" s="174" t="s">
        <v>1032</v>
      </c>
      <c r="B27" s="147" t="s">
        <v>350</v>
      </c>
      <c r="C27" s="148">
        <v>0</v>
      </c>
      <c r="D27" s="149">
        <f t="shared" si="0"/>
        <v>0</v>
      </c>
      <c r="E27" s="137" t="s">
        <v>677</v>
      </c>
    </row>
    <row r="28" spans="1:8" ht="11.1" customHeight="1" x14ac:dyDescent="0.25">
      <c r="A28" s="175" t="s">
        <v>1033</v>
      </c>
      <c r="B28" s="155" t="s">
        <v>347</v>
      </c>
      <c r="C28" s="156">
        <v>0</v>
      </c>
      <c r="D28" s="157">
        <f t="shared" si="0"/>
        <v>0</v>
      </c>
      <c r="E28" s="139" t="s">
        <v>679</v>
      </c>
    </row>
    <row r="29" spans="1:8" ht="11.1" customHeight="1" x14ac:dyDescent="0.25">
      <c r="A29" s="175" t="s">
        <v>1034</v>
      </c>
      <c r="B29" s="155" t="s">
        <v>348</v>
      </c>
      <c r="C29" s="156">
        <v>0</v>
      </c>
      <c r="D29" s="157">
        <f t="shared" ref="D29:D37" si="1">C29</f>
        <v>0</v>
      </c>
      <c r="E29" s="139" t="s">
        <v>679</v>
      </c>
    </row>
    <row r="30" spans="1:8" ht="11.1" customHeight="1" x14ac:dyDescent="0.25">
      <c r="A30" s="154" t="s">
        <v>1824</v>
      </c>
      <c r="B30" s="155" t="s">
        <v>357</v>
      </c>
      <c r="C30" s="156">
        <v>0</v>
      </c>
      <c r="D30" s="157">
        <f t="shared" si="1"/>
        <v>0</v>
      </c>
      <c r="E30" s="139" t="s">
        <v>679</v>
      </c>
    </row>
    <row r="31" spans="1:8" ht="11.1" customHeight="1" x14ac:dyDescent="0.25">
      <c r="A31" s="154" t="s">
        <v>1825</v>
      </c>
      <c r="B31" s="155" t="s">
        <v>1140</v>
      </c>
      <c r="C31" s="156">
        <v>0</v>
      </c>
      <c r="D31" s="157">
        <f t="shared" si="1"/>
        <v>0</v>
      </c>
      <c r="E31" s="139" t="s">
        <v>679</v>
      </c>
    </row>
    <row r="32" spans="1:8" ht="11.1" customHeight="1" x14ac:dyDescent="0.25">
      <c r="A32" s="146" t="s">
        <v>1826</v>
      </c>
      <c r="B32" s="147" t="s">
        <v>205</v>
      </c>
      <c r="C32" s="148">
        <v>0</v>
      </c>
      <c r="D32" s="149">
        <f t="shared" si="1"/>
        <v>0</v>
      </c>
      <c r="E32" s="137" t="s">
        <v>677</v>
      </c>
    </row>
    <row r="33" spans="1:5" ht="11.1" customHeight="1" x14ac:dyDescent="0.25">
      <c r="A33" s="150" t="s">
        <v>1827</v>
      </c>
      <c r="B33" s="151" t="s">
        <v>1141</v>
      </c>
      <c r="C33" s="152">
        <v>0</v>
      </c>
      <c r="D33" s="153">
        <f t="shared" si="1"/>
        <v>0</v>
      </c>
      <c r="E33" s="138" t="s">
        <v>678</v>
      </c>
    </row>
    <row r="34" spans="1:5" ht="11.1" customHeight="1" x14ac:dyDescent="0.25">
      <c r="A34" s="154" t="s">
        <v>1828</v>
      </c>
      <c r="B34" s="155" t="s">
        <v>1142</v>
      </c>
      <c r="C34" s="156">
        <v>0</v>
      </c>
      <c r="D34" s="157">
        <f t="shared" si="1"/>
        <v>0</v>
      </c>
      <c r="E34" s="139" t="s">
        <v>679</v>
      </c>
    </row>
    <row r="35" spans="1:5" ht="11.1" customHeight="1" x14ac:dyDescent="0.25">
      <c r="A35" s="154" t="s">
        <v>1829</v>
      </c>
      <c r="B35" s="155" t="s">
        <v>1143</v>
      </c>
      <c r="C35" s="156">
        <v>0</v>
      </c>
      <c r="D35" s="157">
        <f t="shared" si="1"/>
        <v>0</v>
      </c>
      <c r="E35" s="139" t="s">
        <v>679</v>
      </c>
    </row>
    <row r="36" spans="1:5" x14ac:dyDescent="0.25">
      <c r="A36" s="154" t="s">
        <v>1830</v>
      </c>
      <c r="B36" s="155" t="s">
        <v>528</v>
      </c>
      <c r="C36" s="156">
        <v>0</v>
      </c>
      <c r="D36" s="157">
        <f t="shared" si="1"/>
        <v>0</v>
      </c>
      <c r="E36" s="139" t="s">
        <v>679</v>
      </c>
    </row>
    <row r="37" spans="1:5" x14ac:dyDescent="0.25">
      <c r="A37" s="94" t="s">
        <v>39</v>
      </c>
      <c r="B37" s="95" t="s">
        <v>185</v>
      </c>
      <c r="C37" s="96">
        <f>C39</f>
        <v>0</v>
      </c>
      <c r="D37" s="97">
        <f t="shared" si="1"/>
        <v>0</v>
      </c>
    </row>
    <row r="38" spans="1:5" ht="11.1" customHeight="1" x14ac:dyDescent="0.25">
      <c r="A38" s="109" t="s">
        <v>736</v>
      </c>
      <c r="B38" s="75" t="str">
        <f>DG!D37</f>
        <v>Statia 110/20 kV Delnita, jud. SV</v>
      </c>
      <c r="C38" s="89"/>
      <c r="D38" s="66"/>
    </row>
    <row r="39" spans="1:5" s="76" customFormat="1" ht="11.1" customHeight="1" x14ac:dyDescent="0.25">
      <c r="A39" s="109" t="s">
        <v>1037</v>
      </c>
      <c r="B39" s="82" t="s">
        <v>186</v>
      </c>
      <c r="C39" s="118">
        <v>0</v>
      </c>
      <c r="D39" s="66">
        <f>C39</f>
        <v>0</v>
      </c>
    </row>
    <row r="40" spans="1:5" ht="11.1" customHeight="1" x14ac:dyDescent="0.25">
      <c r="A40" s="94" t="s">
        <v>187</v>
      </c>
      <c r="B40" s="98" t="s">
        <v>48</v>
      </c>
      <c r="C40" s="96">
        <v>0</v>
      </c>
      <c r="D40" s="71">
        <v>0</v>
      </c>
    </row>
    <row r="41" spans="1:5" x14ac:dyDescent="0.25">
      <c r="A41" s="103" t="s">
        <v>188</v>
      </c>
      <c r="B41" s="104" t="s">
        <v>189</v>
      </c>
      <c r="C41" s="105">
        <v>0</v>
      </c>
      <c r="D41" s="102">
        <v>0</v>
      </c>
    </row>
    <row r="42" spans="1:5" x14ac:dyDescent="0.25">
      <c r="A42" s="103" t="s">
        <v>190</v>
      </c>
      <c r="B42" s="104" t="s">
        <v>69</v>
      </c>
      <c r="C42" s="106">
        <f>SUM(C43:C48)</f>
        <v>0</v>
      </c>
      <c r="D42" s="106">
        <f>SUM(D43:D48)</f>
        <v>0</v>
      </c>
    </row>
    <row r="43" spans="1:5" ht="12" customHeight="1" x14ac:dyDescent="0.25">
      <c r="A43" s="74" t="s">
        <v>191</v>
      </c>
      <c r="B43" s="72" t="s">
        <v>192</v>
      </c>
      <c r="C43" s="73">
        <v>0</v>
      </c>
      <c r="D43" s="73">
        <v>0</v>
      </c>
    </row>
    <row r="44" spans="1:5" x14ac:dyDescent="0.25">
      <c r="A44" s="74" t="s">
        <v>193</v>
      </c>
      <c r="B44" s="72" t="s">
        <v>194</v>
      </c>
      <c r="C44" s="73">
        <v>0</v>
      </c>
      <c r="D44" s="73">
        <v>0</v>
      </c>
    </row>
    <row r="45" spans="1:5" x14ac:dyDescent="0.25">
      <c r="A45" s="74" t="s">
        <v>195</v>
      </c>
      <c r="B45" s="83" t="s">
        <v>196</v>
      </c>
      <c r="C45" s="73">
        <v>0</v>
      </c>
      <c r="D45" s="73">
        <v>0</v>
      </c>
    </row>
    <row r="46" spans="1:5" ht="12" customHeight="1" x14ac:dyDescent="0.25">
      <c r="A46" s="74" t="s">
        <v>197</v>
      </c>
      <c r="B46" s="83" t="s">
        <v>198</v>
      </c>
      <c r="C46" s="73">
        <v>0</v>
      </c>
      <c r="D46" s="73">
        <v>0</v>
      </c>
    </row>
    <row r="47" spans="1:5" ht="12" customHeight="1" x14ac:dyDescent="0.25">
      <c r="A47" s="74" t="s">
        <v>199</v>
      </c>
      <c r="B47" s="83" t="s">
        <v>200</v>
      </c>
      <c r="C47" s="73">
        <v>0</v>
      </c>
      <c r="D47" s="73">
        <v>0</v>
      </c>
    </row>
    <row r="48" spans="1:5" x14ac:dyDescent="0.25">
      <c r="A48" s="74" t="s">
        <v>201</v>
      </c>
      <c r="B48" s="72" t="s">
        <v>202</v>
      </c>
      <c r="C48" s="73">
        <v>0</v>
      </c>
      <c r="D48" s="73">
        <v>0</v>
      </c>
    </row>
    <row r="49" spans="1:8" ht="10.199999999999999" customHeight="1" x14ac:dyDescent="0.25">
      <c r="A49" s="103" t="s">
        <v>203</v>
      </c>
      <c r="B49" s="104" t="s">
        <v>204</v>
      </c>
      <c r="C49" s="105">
        <f>C50+C100+C116</f>
        <v>0</v>
      </c>
      <c r="D49" s="105">
        <f>D50+D100+D116</f>
        <v>0</v>
      </c>
    </row>
    <row r="50" spans="1:8" x14ac:dyDescent="0.25">
      <c r="A50" s="94" t="s">
        <v>92</v>
      </c>
      <c r="B50" s="99" t="s">
        <v>157</v>
      </c>
      <c r="C50" s="68">
        <f>SUM(C52:C99)</f>
        <v>0</v>
      </c>
      <c r="D50" s="68">
        <f>SUM(D52:D99)</f>
        <v>0</v>
      </c>
    </row>
    <row r="51" spans="1:8" x14ac:dyDescent="0.25">
      <c r="A51" s="87" t="s">
        <v>703</v>
      </c>
      <c r="B51" s="79" t="str">
        <f>DG!D83</f>
        <v>Statia 110/20 kV Delnita, jud. SV</v>
      </c>
      <c r="C51" s="80"/>
      <c r="D51" s="90"/>
    </row>
    <row r="52" spans="1:8" ht="12" customHeight="1" x14ac:dyDescent="0.25">
      <c r="A52" s="146" t="s">
        <v>1092</v>
      </c>
      <c r="B52" s="147" t="s">
        <v>317</v>
      </c>
      <c r="C52" s="148">
        <v>0</v>
      </c>
      <c r="D52" s="149">
        <f t="shared" ref="D52:D99" si="2">C52</f>
        <v>0</v>
      </c>
      <c r="E52" s="137" t="s">
        <v>677</v>
      </c>
      <c r="G52" s="137" t="s">
        <v>677</v>
      </c>
      <c r="H52" s="133">
        <f>C52+C53+C54+C55+C56+C57+C58+C61+C72+C73+C74+C77</f>
        <v>0</v>
      </c>
    </row>
    <row r="53" spans="1:8" ht="12" customHeight="1" x14ac:dyDescent="0.25">
      <c r="A53" s="146" t="s">
        <v>1093</v>
      </c>
      <c r="B53" s="147" t="s">
        <v>207</v>
      </c>
      <c r="C53" s="148">
        <v>0</v>
      </c>
      <c r="D53" s="149">
        <f t="shared" si="2"/>
        <v>0</v>
      </c>
      <c r="E53" s="137" t="s">
        <v>677</v>
      </c>
      <c r="G53" s="138" t="s">
        <v>678</v>
      </c>
      <c r="H53" s="133">
        <f>C78+C85+C87+C88+C91+C92</f>
        <v>0</v>
      </c>
    </row>
    <row r="54" spans="1:8" ht="12" customHeight="1" x14ac:dyDescent="0.25">
      <c r="A54" s="146" t="s">
        <v>1094</v>
      </c>
      <c r="B54" s="147" t="s">
        <v>529</v>
      </c>
      <c r="C54" s="148">
        <v>0</v>
      </c>
      <c r="D54" s="149">
        <f t="shared" si="2"/>
        <v>0</v>
      </c>
      <c r="E54" s="137" t="s">
        <v>677</v>
      </c>
      <c r="G54" s="139" t="s">
        <v>679</v>
      </c>
      <c r="H54" s="133">
        <f>C59+C60+C80+C81+C82+C84+C86</f>
        <v>0</v>
      </c>
    </row>
    <row r="55" spans="1:8" ht="12" customHeight="1" x14ac:dyDescent="0.25">
      <c r="A55" s="146" t="s">
        <v>1095</v>
      </c>
      <c r="B55" s="147" t="s">
        <v>208</v>
      </c>
      <c r="C55" s="148">
        <v>0</v>
      </c>
      <c r="D55" s="149">
        <f t="shared" si="2"/>
        <v>0</v>
      </c>
      <c r="E55" s="137" t="s">
        <v>677</v>
      </c>
      <c r="G55" s="140" t="s">
        <v>680</v>
      </c>
      <c r="H55" s="133">
        <f>C62+C63+C64+C65+C66+C67+C68+C69+C70+C71+C75+C76+C79+C83+C89+C90+C93+C94+C95+C96+C99</f>
        <v>0</v>
      </c>
    </row>
    <row r="56" spans="1:8" ht="12" customHeight="1" x14ac:dyDescent="0.25">
      <c r="A56" s="146" t="s">
        <v>1096</v>
      </c>
      <c r="B56" s="147" t="s">
        <v>632</v>
      </c>
      <c r="C56" s="148">
        <v>0</v>
      </c>
      <c r="D56" s="149">
        <f t="shared" si="2"/>
        <v>0</v>
      </c>
      <c r="E56" s="137" t="s">
        <v>677</v>
      </c>
      <c r="G56" s="141" t="s">
        <v>681</v>
      </c>
      <c r="H56" s="133">
        <f>C97+C98</f>
        <v>0</v>
      </c>
    </row>
    <row r="57" spans="1:8" ht="12" customHeight="1" x14ac:dyDescent="0.25">
      <c r="A57" s="146" t="s">
        <v>1097</v>
      </c>
      <c r="B57" s="147" t="s">
        <v>530</v>
      </c>
      <c r="C57" s="148">
        <v>0</v>
      </c>
      <c r="D57" s="149">
        <f t="shared" si="2"/>
        <v>0</v>
      </c>
      <c r="E57" s="137" t="s">
        <v>677</v>
      </c>
    </row>
    <row r="58" spans="1:8" ht="12" customHeight="1" x14ac:dyDescent="0.25">
      <c r="A58" s="146" t="s">
        <v>1098</v>
      </c>
      <c r="B58" s="147" t="s">
        <v>209</v>
      </c>
      <c r="C58" s="148">
        <v>0</v>
      </c>
      <c r="D58" s="149">
        <f t="shared" si="2"/>
        <v>0</v>
      </c>
      <c r="E58" s="137" t="s">
        <v>677</v>
      </c>
      <c r="H58" s="169">
        <f>C50-H52-H53-H54-H55-H56</f>
        <v>0</v>
      </c>
    </row>
    <row r="59" spans="1:8" ht="12" customHeight="1" x14ac:dyDescent="0.25">
      <c r="A59" s="154" t="s">
        <v>1099</v>
      </c>
      <c r="B59" s="155" t="s">
        <v>531</v>
      </c>
      <c r="C59" s="156">
        <v>0</v>
      </c>
      <c r="D59" s="157">
        <f t="shared" si="2"/>
        <v>0</v>
      </c>
      <c r="E59" s="139" t="s">
        <v>679</v>
      </c>
    </row>
    <row r="60" spans="1:8" ht="12" customHeight="1" x14ac:dyDescent="0.25">
      <c r="A60" s="154" t="s">
        <v>1100</v>
      </c>
      <c r="B60" s="155" t="s">
        <v>232</v>
      </c>
      <c r="C60" s="156">
        <v>0</v>
      </c>
      <c r="D60" s="157">
        <f t="shared" si="2"/>
        <v>0</v>
      </c>
      <c r="E60" s="139" t="s">
        <v>679</v>
      </c>
    </row>
    <row r="61" spans="1:8" ht="12" customHeight="1" x14ac:dyDescent="0.25">
      <c r="A61" s="146" t="s">
        <v>1101</v>
      </c>
      <c r="B61" s="147" t="s">
        <v>213</v>
      </c>
      <c r="C61" s="148">
        <v>0</v>
      </c>
      <c r="D61" s="149">
        <f t="shared" si="2"/>
        <v>0</v>
      </c>
      <c r="E61" s="137" t="s">
        <v>677</v>
      </c>
    </row>
    <row r="62" spans="1:8" ht="12" customHeight="1" x14ac:dyDescent="0.25">
      <c r="A62" s="190" t="s">
        <v>1102</v>
      </c>
      <c r="B62" s="191" t="s">
        <v>230</v>
      </c>
      <c r="C62" s="188">
        <v>0</v>
      </c>
      <c r="D62" s="189">
        <f t="shared" si="2"/>
        <v>0</v>
      </c>
      <c r="E62" s="140" t="s">
        <v>680</v>
      </c>
    </row>
    <row r="63" spans="1:8" ht="12" customHeight="1" x14ac:dyDescent="0.25">
      <c r="A63" s="190" t="s">
        <v>1103</v>
      </c>
      <c r="B63" s="191" t="s">
        <v>1144</v>
      </c>
      <c r="C63" s="188">
        <v>0</v>
      </c>
      <c r="D63" s="189">
        <f t="shared" si="2"/>
        <v>0</v>
      </c>
      <c r="E63" s="140" t="s">
        <v>680</v>
      </c>
    </row>
    <row r="64" spans="1:8" ht="12" customHeight="1" x14ac:dyDescent="0.25">
      <c r="A64" s="190" t="s">
        <v>1104</v>
      </c>
      <c r="B64" s="191" t="s">
        <v>1145</v>
      </c>
      <c r="C64" s="188">
        <v>0</v>
      </c>
      <c r="D64" s="189">
        <f t="shared" si="2"/>
        <v>0</v>
      </c>
      <c r="E64" s="140" t="s">
        <v>680</v>
      </c>
    </row>
    <row r="65" spans="1:5" ht="12" customHeight="1" x14ac:dyDescent="0.25">
      <c r="A65" s="190" t="s">
        <v>1105</v>
      </c>
      <c r="B65" s="191" t="s">
        <v>398</v>
      </c>
      <c r="C65" s="188">
        <v>0</v>
      </c>
      <c r="D65" s="189">
        <f t="shared" si="2"/>
        <v>0</v>
      </c>
      <c r="E65" s="140" t="s">
        <v>680</v>
      </c>
    </row>
    <row r="66" spans="1:5" ht="12" customHeight="1" x14ac:dyDescent="0.25">
      <c r="A66" s="190" t="s">
        <v>1106</v>
      </c>
      <c r="B66" s="191" t="s">
        <v>218</v>
      </c>
      <c r="C66" s="188">
        <v>0</v>
      </c>
      <c r="D66" s="189">
        <f t="shared" si="2"/>
        <v>0</v>
      </c>
      <c r="E66" s="140" t="s">
        <v>680</v>
      </c>
    </row>
    <row r="67" spans="1:5" x14ac:dyDescent="0.25">
      <c r="A67" s="190" t="s">
        <v>1107</v>
      </c>
      <c r="B67" s="191" t="s">
        <v>674</v>
      </c>
      <c r="C67" s="188">
        <v>0</v>
      </c>
      <c r="D67" s="189">
        <f t="shared" si="2"/>
        <v>0</v>
      </c>
      <c r="E67" s="140" t="s">
        <v>680</v>
      </c>
    </row>
    <row r="68" spans="1:5" x14ac:dyDescent="0.25">
      <c r="A68" s="190" t="s">
        <v>1108</v>
      </c>
      <c r="B68" s="191" t="s">
        <v>1146</v>
      </c>
      <c r="C68" s="188">
        <v>0</v>
      </c>
      <c r="D68" s="189">
        <f t="shared" si="2"/>
        <v>0</v>
      </c>
      <c r="E68" s="140" t="s">
        <v>680</v>
      </c>
    </row>
    <row r="69" spans="1:5" x14ac:dyDescent="0.25">
      <c r="A69" s="190" t="s">
        <v>1109</v>
      </c>
      <c r="B69" s="191" t="s">
        <v>323</v>
      </c>
      <c r="C69" s="188">
        <v>0</v>
      </c>
      <c r="D69" s="189">
        <f t="shared" si="2"/>
        <v>0</v>
      </c>
      <c r="E69" s="140" t="s">
        <v>680</v>
      </c>
    </row>
    <row r="70" spans="1:5" x14ac:dyDescent="0.25">
      <c r="A70" s="190" t="s">
        <v>1110</v>
      </c>
      <c r="B70" s="191" t="s">
        <v>1147</v>
      </c>
      <c r="C70" s="188">
        <v>0</v>
      </c>
      <c r="D70" s="189">
        <f t="shared" si="2"/>
        <v>0</v>
      </c>
      <c r="E70" s="140" t="s">
        <v>680</v>
      </c>
    </row>
    <row r="71" spans="1:5" x14ac:dyDescent="0.25">
      <c r="A71" s="190" t="s">
        <v>1111</v>
      </c>
      <c r="B71" s="191" t="s">
        <v>228</v>
      </c>
      <c r="C71" s="188">
        <v>0</v>
      </c>
      <c r="D71" s="189">
        <f t="shared" si="2"/>
        <v>0</v>
      </c>
      <c r="E71" s="140" t="s">
        <v>680</v>
      </c>
    </row>
    <row r="72" spans="1:5" x14ac:dyDescent="0.25">
      <c r="A72" s="146" t="s">
        <v>1112</v>
      </c>
      <c r="B72" s="147" t="s">
        <v>409</v>
      </c>
      <c r="C72" s="148">
        <v>0</v>
      </c>
      <c r="D72" s="149">
        <f t="shared" si="2"/>
        <v>0</v>
      </c>
      <c r="E72" s="137" t="s">
        <v>677</v>
      </c>
    </row>
    <row r="73" spans="1:5" x14ac:dyDescent="0.25">
      <c r="A73" s="146" t="s">
        <v>1113</v>
      </c>
      <c r="B73" s="147" t="s">
        <v>407</v>
      </c>
      <c r="C73" s="148">
        <v>0</v>
      </c>
      <c r="D73" s="149">
        <f t="shared" si="2"/>
        <v>0</v>
      </c>
      <c r="E73" s="137" t="s">
        <v>677</v>
      </c>
    </row>
    <row r="74" spans="1:5" x14ac:dyDescent="0.25">
      <c r="A74" s="146" t="s">
        <v>1114</v>
      </c>
      <c r="B74" s="147" t="s">
        <v>411</v>
      </c>
      <c r="C74" s="148">
        <v>0</v>
      </c>
      <c r="D74" s="149">
        <f t="shared" si="2"/>
        <v>0</v>
      </c>
      <c r="E74" s="137" t="s">
        <v>677</v>
      </c>
    </row>
    <row r="75" spans="1:5" x14ac:dyDescent="0.25">
      <c r="A75" s="190" t="s">
        <v>1115</v>
      </c>
      <c r="B75" s="191" t="s">
        <v>1148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90" t="s">
        <v>1116</v>
      </c>
      <c r="B76" s="191" t="s">
        <v>1149</v>
      </c>
      <c r="C76" s="188">
        <v>0</v>
      </c>
      <c r="D76" s="189">
        <f t="shared" si="2"/>
        <v>0</v>
      </c>
      <c r="E76" s="140" t="s">
        <v>680</v>
      </c>
    </row>
    <row r="77" spans="1:5" x14ac:dyDescent="0.25">
      <c r="A77" s="146" t="s">
        <v>1117</v>
      </c>
      <c r="B77" s="147" t="s">
        <v>238</v>
      </c>
      <c r="C77" s="148">
        <v>0</v>
      </c>
      <c r="D77" s="149">
        <f t="shared" si="2"/>
        <v>0</v>
      </c>
      <c r="E77" s="137" t="s">
        <v>677</v>
      </c>
    </row>
    <row r="78" spans="1:5" x14ac:dyDescent="0.25">
      <c r="A78" s="150" t="s">
        <v>1118</v>
      </c>
      <c r="B78" s="151" t="s">
        <v>1150</v>
      </c>
      <c r="C78" s="152">
        <v>0</v>
      </c>
      <c r="D78" s="153">
        <f t="shared" si="2"/>
        <v>0</v>
      </c>
      <c r="E78" s="138" t="s">
        <v>678</v>
      </c>
    </row>
    <row r="79" spans="1:5" x14ac:dyDescent="0.25">
      <c r="A79" s="190" t="s">
        <v>1119</v>
      </c>
      <c r="B79" s="191" t="s">
        <v>1151</v>
      </c>
      <c r="C79" s="188">
        <v>0</v>
      </c>
      <c r="D79" s="189">
        <f t="shared" si="2"/>
        <v>0</v>
      </c>
      <c r="E79" s="140" t="s">
        <v>680</v>
      </c>
    </row>
    <row r="80" spans="1:5" x14ac:dyDescent="0.25">
      <c r="A80" s="154" t="s">
        <v>1120</v>
      </c>
      <c r="B80" s="155" t="s">
        <v>1152</v>
      </c>
      <c r="C80" s="156">
        <v>0</v>
      </c>
      <c r="D80" s="157">
        <f t="shared" si="2"/>
        <v>0</v>
      </c>
      <c r="E80" s="139" t="s">
        <v>679</v>
      </c>
    </row>
    <row r="81" spans="1:5" x14ac:dyDescent="0.25">
      <c r="A81" s="154" t="s">
        <v>1121</v>
      </c>
      <c r="B81" s="155" t="s">
        <v>413</v>
      </c>
      <c r="C81" s="156">
        <v>0</v>
      </c>
      <c r="D81" s="157">
        <f t="shared" si="2"/>
        <v>0</v>
      </c>
      <c r="E81" s="139" t="s">
        <v>679</v>
      </c>
    </row>
    <row r="82" spans="1:5" x14ac:dyDescent="0.25">
      <c r="A82" s="154" t="s">
        <v>1122</v>
      </c>
      <c r="B82" s="155" t="s">
        <v>415</v>
      </c>
      <c r="C82" s="156">
        <v>0</v>
      </c>
      <c r="D82" s="157">
        <f t="shared" si="2"/>
        <v>0</v>
      </c>
      <c r="E82" s="139" t="s">
        <v>679</v>
      </c>
    </row>
    <row r="83" spans="1:5" x14ac:dyDescent="0.25">
      <c r="A83" s="190" t="s">
        <v>1123</v>
      </c>
      <c r="B83" s="191" t="s">
        <v>437</v>
      </c>
      <c r="C83" s="188">
        <v>0</v>
      </c>
      <c r="D83" s="189">
        <f t="shared" si="2"/>
        <v>0</v>
      </c>
      <c r="E83" s="140" t="s">
        <v>680</v>
      </c>
    </row>
    <row r="84" spans="1:5" x14ac:dyDescent="0.25">
      <c r="A84" s="154" t="s">
        <v>1124</v>
      </c>
      <c r="B84" s="155" t="s">
        <v>1153</v>
      </c>
      <c r="C84" s="156">
        <v>0</v>
      </c>
      <c r="D84" s="157">
        <f t="shared" si="2"/>
        <v>0</v>
      </c>
      <c r="E84" s="139" t="s">
        <v>679</v>
      </c>
    </row>
    <row r="85" spans="1:5" x14ac:dyDescent="0.25">
      <c r="A85" s="150" t="s">
        <v>1125</v>
      </c>
      <c r="B85" s="151" t="s">
        <v>1154</v>
      </c>
      <c r="C85" s="152">
        <v>0</v>
      </c>
      <c r="D85" s="153">
        <f t="shared" si="2"/>
        <v>0</v>
      </c>
      <c r="E85" s="138" t="s">
        <v>678</v>
      </c>
    </row>
    <row r="86" spans="1:5" x14ac:dyDescent="0.25">
      <c r="A86" s="154" t="s">
        <v>1126</v>
      </c>
      <c r="B86" s="155" t="s">
        <v>244</v>
      </c>
      <c r="C86" s="156">
        <v>0</v>
      </c>
      <c r="D86" s="157">
        <f t="shared" si="2"/>
        <v>0</v>
      </c>
      <c r="E86" s="139" t="s">
        <v>679</v>
      </c>
    </row>
    <row r="87" spans="1:5" x14ac:dyDescent="0.25">
      <c r="A87" s="150" t="s">
        <v>1127</v>
      </c>
      <c r="B87" s="151" t="s">
        <v>246</v>
      </c>
      <c r="C87" s="152">
        <v>0</v>
      </c>
      <c r="D87" s="153">
        <f t="shared" si="2"/>
        <v>0</v>
      </c>
      <c r="E87" s="138" t="s">
        <v>678</v>
      </c>
    </row>
    <row r="88" spans="1:5" x14ac:dyDescent="0.25">
      <c r="A88" s="150" t="s">
        <v>1128</v>
      </c>
      <c r="B88" s="151" t="s">
        <v>248</v>
      </c>
      <c r="C88" s="152">
        <v>0</v>
      </c>
      <c r="D88" s="153">
        <f t="shared" si="2"/>
        <v>0</v>
      </c>
      <c r="E88" s="138" t="s">
        <v>678</v>
      </c>
    </row>
    <row r="89" spans="1:5" x14ac:dyDescent="0.25">
      <c r="A89" s="190" t="s">
        <v>1129</v>
      </c>
      <c r="B89" s="191" t="s">
        <v>320</v>
      </c>
      <c r="C89" s="188">
        <v>0</v>
      </c>
      <c r="D89" s="189">
        <f t="shared" si="2"/>
        <v>0</v>
      </c>
      <c r="E89" s="140" t="s">
        <v>680</v>
      </c>
    </row>
    <row r="90" spans="1:5" x14ac:dyDescent="0.25">
      <c r="A90" s="190" t="s">
        <v>1130</v>
      </c>
      <c r="B90" s="191" t="s">
        <v>438</v>
      </c>
      <c r="C90" s="188">
        <v>0</v>
      </c>
      <c r="D90" s="189">
        <f t="shared" si="2"/>
        <v>0</v>
      </c>
      <c r="E90" s="140" t="s">
        <v>680</v>
      </c>
    </row>
    <row r="91" spans="1:5" x14ac:dyDescent="0.25">
      <c r="A91" s="150" t="s">
        <v>1131</v>
      </c>
      <c r="B91" s="151" t="s">
        <v>439</v>
      </c>
      <c r="C91" s="152">
        <v>0</v>
      </c>
      <c r="D91" s="153">
        <f t="shared" si="2"/>
        <v>0</v>
      </c>
      <c r="E91" s="138" t="s">
        <v>678</v>
      </c>
    </row>
    <row r="92" spans="1:5" x14ac:dyDescent="0.25">
      <c r="A92" s="150" t="s">
        <v>1132</v>
      </c>
      <c r="B92" s="151" t="s">
        <v>511</v>
      </c>
      <c r="C92" s="152">
        <v>0</v>
      </c>
      <c r="D92" s="153">
        <f t="shared" si="2"/>
        <v>0</v>
      </c>
      <c r="E92" s="138" t="s">
        <v>678</v>
      </c>
    </row>
    <row r="93" spans="1:5" x14ac:dyDescent="0.25">
      <c r="A93" s="190" t="s">
        <v>1133</v>
      </c>
      <c r="B93" s="191" t="s">
        <v>532</v>
      </c>
      <c r="C93" s="188">
        <v>0</v>
      </c>
      <c r="D93" s="189">
        <f t="shared" si="2"/>
        <v>0</v>
      </c>
      <c r="E93" s="140" t="s">
        <v>680</v>
      </c>
    </row>
    <row r="94" spans="1:5" x14ac:dyDescent="0.25">
      <c r="A94" s="190" t="s">
        <v>1134</v>
      </c>
      <c r="B94" s="191" t="s">
        <v>252</v>
      </c>
      <c r="C94" s="188">
        <v>0</v>
      </c>
      <c r="D94" s="189">
        <f t="shared" si="2"/>
        <v>0</v>
      </c>
      <c r="E94" s="140" t="s">
        <v>680</v>
      </c>
    </row>
    <row r="95" spans="1:5" x14ac:dyDescent="0.25">
      <c r="A95" s="190" t="s">
        <v>1135</v>
      </c>
      <c r="B95" s="191" t="s">
        <v>254</v>
      </c>
      <c r="C95" s="188">
        <v>0</v>
      </c>
      <c r="D95" s="189">
        <f t="shared" si="2"/>
        <v>0</v>
      </c>
      <c r="E95" s="140" t="s">
        <v>680</v>
      </c>
    </row>
    <row r="96" spans="1:5" x14ac:dyDescent="0.25">
      <c r="A96" s="190" t="s">
        <v>1136</v>
      </c>
      <c r="B96" s="191" t="s">
        <v>1155</v>
      </c>
      <c r="C96" s="188">
        <v>0</v>
      </c>
      <c r="D96" s="189">
        <f t="shared" si="2"/>
        <v>0</v>
      </c>
      <c r="E96" s="140" t="s">
        <v>680</v>
      </c>
    </row>
    <row r="97" spans="1:8" x14ac:dyDescent="0.25">
      <c r="A97" s="142" t="s">
        <v>1137</v>
      </c>
      <c r="B97" s="143" t="s">
        <v>258</v>
      </c>
      <c r="C97" s="144">
        <v>0</v>
      </c>
      <c r="D97" s="145">
        <f t="shared" si="2"/>
        <v>0</v>
      </c>
      <c r="E97" s="141" t="s">
        <v>681</v>
      </c>
      <c r="F97" s="67" t="s">
        <v>163</v>
      </c>
    </row>
    <row r="98" spans="1:8" x14ac:dyDescent="0.25">
      <c r="A98" s="142" t="s">
        <v>1138</v>
      </c>
      <c r="B98" s="143" t="s">
        <v>260</v>
      </c>
      <c r="C98" s="144">
        <v>0</v>
      </c>
      <c r="D98" s="145">
        <f t="shared" si="2"/>
        <v>0</v>
      </c>
      <c r="E98" s="141" t="s">
        <v>681</v>
      </c>
      <c r="F98" s="67" t="s">
        <v>158</v>
      </c>
    </row>
    <row r="99" spans="1:8" x14ac:dyDescent="0.25">
      <c r="A99" s="190" t="s">
        <v>1139</v>
      </c>
      <c r="B99" s="191" t="s">
        <v>256</v>
      </c>
      <c r="C99" s="188">
        <v>0</v>
      </c>
      <c r="D99" s="189">
        <f t="shared" si="2"/>
        <v>0</v>
      </c>
      <c r="E99" s="140" t="s">
        <v>680</v>
      </c>
      <c r="G99" s="133">
        <f>C97+C98</f>
        <v>0</v>
      </c>
    </row>
    <row r="100" spans="1:8" x14ac:dyDescent="0.25">
      <c r="A100" s="94" t="s">
        <v>101</v>
      </c>
      <c r="B100" s="99" t="s">
        <v>261</v>
      </c>
      <c r="C100" s="68">
        <f>SUM(C102:C115)</f>
        <v>0</v>
      </c>
      <c r="D100" s="68">
        <f>SUM(D102:D115)</f>
        <v>0</v>
      </c>
    </row>
    <row r="101" spans="1:8" x14ac:dyDescent="0.25">
      <c r="A101" s="87" t="s">
        <v>721</v>
      </c>
      <c r="B101" s="111" t="str">
        <f>DG!D96</f>
        <v>Statia 110/20 kV Delnita, jud. SV</v>
      </c>
      <c r="C101" s="89"/>
      <c r="D101" s="90"/>
    </row>
    <row r="102" spans="1:8" x14ac:dyDescent="0.25">
      <c r="A102" s="160" t="s">
        <v>1064</v>
      </c>
      <c r="B102" s="155" t="s">
        <v>1078</v>
      </c>
      <c r="C102" s="156">
        <v>0</v>
      </c>
      <c r="D102" s="157">
        <f t="shared" ref="D102:D115" si="3">C102</f>
        <v>0</v>
      </c>
      <c r="E102" s="139" t="s">
        <v>679</v>
      </c>
      <c r="G102" s="137" t="s">
        <v>677</v>
      </c>
      <c r="H102" s="164">
        <f>C103</f>
        <v>0</v>
      </c>
    </row>
    <row r="103" spans="1:8" x14ac:dyDescent="0.25">
      <c r="A103" s="158" t="s">
        <v>1065</v>
      </c>
      <c r="B103" s="147" t="s">
        <v>1079</v>
      </c>
      <c r="C103" s="148">
        <v>0</v>
      </c>
      <c r="D103" s="149">
        <f t="shared" si="3"/>
        <v>0</v>
      </c>
      <c r="E103" s="137" t="s">
        <v>677</v>
      </c>
      <c r="G103" s="138" t="s">
        <v>678</v>
      </c>
      <c r="H103" s="133">
        <f>C104+C107+C109+C110+C115</f>
        <v>0</v>
      </c>
    </row>
    <row r="104" spans="1:8" ht="12" customHeight="1" x14ac:dyDescent="0.25">
      <c r="A104" s="162" t="s">
        <v>1066</v>
      </c>
      <c r="B104" s="151" t="s">
        <v>1080</v>
      </c>
      <c r="C104" s="152">
        <v>0</v>
      </c>
      <c r="D104" s="153">
        <f t="shared" si="3"/>
        <v>0</v>
      </c>
      <c r="E104" s="138" t="s">
        <v>678</v>
      </c>
      <c r="G104" s="139" t="s">
        <v>679</v>
      </c>
      <c r="H104" s="133">
        <f>C102+C105+C106+C108</f>
        <v>0</v>
      </c>
    </row>
    <row r="105" spans="1:8" ht="12" customHeight="1" x14ac:dyDescent="0.25">
      <c r="A105" s="160" t="s">
        <v>1067</v>
      </c>
      <c r="B105" s="155" t="s">
        <v>1081</v>
      </c>
      <c r="C105" s="156">
        <v>0</v>
      </c>
      <c r="D105" s="157">
        <f t="shared" si="3"/>
        <v>0</v>
      </c>
      <c r="E105" s="139" t="s">
        <v>679</v>
      </c>
      <c r="G105" s="140" t="s">
        <v>680</v>
      </c>
      <c r="H105" s="133">
        <f>C111+C112+C113+C114</f>
        <v>0</v>
      </c>
    </row>
    <row r="106" spans="1:8" x14ac:dyDescent="0.25">
      <c r="A106" s="160" t="s">
        <v>1068</v>
      </c>
      <c r="B106" s="155" t="s">
        <v>1082</v>
      </c>
      <c r="C106" s="156">
        <v>0</v>
      </c>
      <c r="D106" s="157">
        <f t="shared" si="3"/>
        <v>0</v>
      </c>
      <c r="E106" s="139" t="s">
        <v>679</v>
      </c>
    </row>
    <row r="107" spans="1:8" x14ac:dyDescent="0.25">
      <c r="A107" s="162" t="s">
        <v>1069</v>
      </c>
      <c r="B107" s="151" t="s">
        <v>1083</v>
      </c>
      <c r="C107" s="152">
        <v>0</v>
      </c>
      <c r="D107" s="153">
        <f t="shared" si="3"/>
        <v>0</v>
      </c>
      <c r="E107" s="138" t="s">
        <v>678</v>
      </c>
      <c r="H107" s="169">
        <f>C100-H102-H103-H104-H105</f>
        <v>0</v>
      </c>
    </row>
    <row r="108" spans="1:8" x14ac:dyDescent="0.25">
      <c r="A108" s="160" t="s">
        <v>1070</v>
      </c>
      <c r="B108" s="155" t="s">
        <v>1084</v>
      </c>
      <c r="C108" s="156">
        <v>0</v>
      </c>
      <c r="D108" s="157">
        <f t="shared" si="3"/>
        <v>0</v>
      </c>
      <c r="E108" s="139" t="s">
        <v>679</v>
      </c>
    </row>
    <row r="109" spans="1:8" x14ac:dyDescent="0.25">
      <c r="A109" s="162" t="s">
        <v>1071</v>
      </c>
      <c r="B109" s="151" t="s">
        <v>1085</v>
      </c>
      <c r="C109" s="152">
        <v>0</v>
      </c>
      <c r="D109" s="153">
        <f t="shared" si="3"/>
        <v>0</v>
      </c>
      <c r="E109" s="138" t="s">
        <v>678</v>
      </c>
    </row>
    <row r="110" spans="1:8" x14ac:dyDescent="0.25">
      <c r="A110" s="162" t="s">
        <v>1072</v>
      </c>
      <c r="B110" s="151" t="s">
        <v>1086</v>
      </c>
      <c r="C110" s="152">
        <v>0</v>
      </c>
      <c r="D110" s="153">
        <f t="shared" si="3"/>
        <v>0</v>
      </c>
      <c r="E110" s="138" t="s">
        <v>678</v>
      </c>
    </row>
    <row r="111" spans="1:8" x14ac:dyDescent="0.25">
      <c r="A111" s="194" t="s">
        <v>1073</v>
      </c>
      <c r="B111" s="191" t="s">
        <v>1087</v>
      </c>
      <c r="C111" s="188">
        <v>0</v>
      </c>
      <c r="D111" s="189">
        <f t="shared" si="3"/>
        <v>0</v>
      </c>
      <c r="E111" s="140" t="s">
        <v>680</v>
      </c>
      <c r="H111" s="169"/>
    </row>
    <row r="112" spans="1:8" ht="12" customHeight="1" x14ac:dyDescent="0.25">
      <c r="A112" s="194" t="s">
        <v>1074</v>
      </c>
      <c r="B112" s="191" t="s">
        <v>1088</v>
      </c>
      <c r="C112" s="188">
        <v>0</v>
      </c>
      <c r="D112" s="189">
        <f t="shared" si="3"/>
        <v>0</v>
      </c>
      <c r="E112" s="140" t="s">
        <v>680</v>
      </c>
    </row>
    <row r="113" spans="1:8" ht="12" customHeight="1" x14ac:dyDescent="0.25">
      <c r="A113" s="194" t="s">
        <v>1075</v>
      </c>
      <c r="B113" s="191" t="s">
        <v>1089</v>
      </c>
      <c r="C113" s="188">
        <v>0</v>
      </c>
      <c r="D113" s="189">
        <f t="shared" si="3"/>
        <v>0</v>
      </c>
      <c r="E113" s="140" t="s">
        <v>680</v>
      </c>
    </row>
    <row r="114" spans="1:8" ht="12" customHeight="1" x14ac:dyDescent="0.25">
      <c r="A114" s="194" t="s">
        <v>1076</v>
      </c>
      <c r="B114" s="191" t="s">
        <v>1090</v>
      </c>
      <c r="C114" s="188">
        <v>0</v>
      </c>
      <c r="D114" s="189">
        <f t="shared" si="3"/>
        <v>0</v>
      </c>
      <c r="E114" s="140" t="s">
        <v>680</v>
      </c>
    </row>
    <row r="115" spans="1:8" ht="12" customHeight="1" x14ac:dyDescent="0.25">
      <c r="A115" s="162" t="s">
        <v>1077</v>
      </c>
      <c r="B115" s="151" t="s">
        <v>1091</v>
      </c>
      <c r="C115" s="152">
        <v>0</v>
      </c>
      <c r="D115" s="153">
        <f t="shared" si="3"/>
        <v>0</v>
      </c>
      <c r="E115" s="138" t="s">
        <v>678</v>
      </c>
    </row>
    <row r="116" spans="1:8" x14ac:dyDescent="0.25">
      <c r="A116" s="94" t="s">
        <v>110</v>
      </c>
      <c r="B116" s="99" t="s">
        <v>270</v>
      </c>
      <c r="C116" s="68">
        <f>SUM(C118:C130)</f>
        <v>0</v>
      </c>
      <c r="D116" s="68">
        <f>SUM(D118:D130)</f>
        <v>0</v>
      </c>
    </row>
    <row r="117" spans="1:8" x14ac:dyDescent="0.25">
      <c r="A117" s="88" t="s">
        <v>726</v>
      </c>
      <c r="B117" s="111" t="str">
        <f>DG!D109</f>
        <v>Statia 110/20 kV Delnita, jud. SV</v>
      </c>
      <c r="C117" s="89"/>
      <c r="D117" s="89"/>
    </row>
    <row r="118" spans="1:8" x14ac:dyDescent="0.25">
      <c r="A118" s="158" t="s">
        <v>1038</v>
      </c>
      <c r="B118" s="147" t="s">
        <v>1051</v>
      </c>
      <c r="C118" s="148">
        <v>0</v>
      </c>
      <c r="D118" s="159">
        <v>0</v>
      </c>
      <c r="E118" s="137" t="s">
        <v>677</v>
      </c>
      <c r="G118" s="137" t="s">
        <v>677</v>
      </c>
      <c r="H118" s="164">
        <f>C118</f>
        <v>0</v>
      </c>
    </row>
    <row r="119" spans="1:8" ht="12" customHeight="1" x14ac:dyDescent="0.25">
      <c r="A119" s="162" t="s">
        <v>1039</v>
      </c>
      <c r="B119" s="151" t="s">
        <v>1052</v>
      </c>
      <c r="C119" s="152">
        <v>0</v>
      </c>
      <c r="D119" s="163">
        <v>0</v>
      </c>
      <c r="E119" s="138" t="s">
        <v>678</v>
      </c>
      <c r="G119" s="138" t="s">
        <v>678</v>
      </c>
      <c r="H119" s="133">
        <f>C119+C122+C124+C125+C130</f>
        <v>0</v>
      </c>
    </row>
    <row r="120" spans="1:8" ht="12" customHeight="1" x14ac:dyDescent="0.25">
      <c r="A120" s="160" t="s">
        <v>1040</v>
      </c>
      <c r="B120" s="155" t="s">
        <v>1053</v>
      </c>
      <c r="C120" s="156">
        <v>0</v>
      </c>
      <c r="D120" s="161">
        <v>0</v>
      </c>
      <c r="E120" s="139" t="s">
        <v>679</v>
      </c>
      <c r="G120" s="139" t="s">
        <v>679</v>
      </c>
      <c r="H120" s="133">
        <f>C120+C121+C123</f>
        <v>0</v>
      </c>
    </row>
    <row r="121" spans="1:8" x14ac:dyDescent="0.25">
      <c r="A121" s="160" t="s">
        <v>1041</v>
      </c>
      <c r="B121" s="155" t="s">
        <v>1054</v>
      </c>
      <c r="C121" s="156">
        <v>0</v>
      </c>
      <c r="D121" s="161">
        <v>0</v>
      </c>
      <c r="E121" s="139" t="s">
        <v>679</v>
      </c>
      <c r="G121" s="140" t="s">
        <v>680</v>
      </c>
      <c r="H121" s="133">
        <f>C126+C127+C128+C129</f>
        <v>0</v>
      </c>
    </row>
    <row r="122" spans="1:8" x14ac:dyDescent="0.25">
      <c r="A122" s="162" t="s">
        <v>1042</v>
      </c>
      <c r="B122" s="151" t="s">
        <v>1055</v>
      </c>
      <c r="C122" s="152">
        <v>0</v>
      </c>
      <c r="D122" s="163">
        <v>0</v>
      </c>
      <c r="E122" s="138" t="s">
        <v>678</v>
      </c>
    </row>
    <row r="123" spans="1:8" ht="12" customHeight="1" x14ac:dyDescent="0.25">
      <c r="A123" s="160" t="s">
        <v>1043</v>
      </c>
      <c r="B123" s="155" t="s">
        <v>1056</v>
      </c>
      <c r="C123" s="156">
        <v>0</v>
      </c>
      <c r="D123" s="161">
        <v>0</v>
      </c>
      <c r="E123" s="139" t="s">
        <v>679</v>
      </c>
      <c r="H123" s="169">
        <f>C116-H118-H119-H120-H121</f>
        <v>0</v>
      </c>
    </row>
    <row r="124" spans="1:8" ht="12" customHeight="1" x14ac:dyDescent="0.25">
      <c r="A124" s="162" t="s">
        <v>1044</v>
      </c>
      <c r="B124" s="151" t="s">
        <v>1057</v>
      </c>
      <c r="C124" s="152">
        <v>0</v>
      </c>
      <c r="D124" s="163">
        <v>0</v>
      </c>
      <c r="E124" s="138" t="s">
        <v>678</v>
      </c>
    </row>
    <row r="125" spans="1:8" ht="12" customHeight="1" x14ac:dyDescent="0.25">
      <c r="A125" s="162" t="s">
        <v>1045</v>
      </c>
      <c r="B125" s="151" t="s">
        <v>1058</v>
      </c>
      <c r="C125" s="152">
        <v>0</v>
      </c>
      <c r="D125" s="163">
        <v>0</v>
      </c>
      <c r="E125" s="138" t="s">
        <v>678</v>
      </c>
    </row>
    <row r="126" spans="1:8" ht="12" customHeight="1" x14ac:dyDescent="0.25">
      <c r="A126" s="194" t="s">
        <v>1046</v>
      </c>
      <c r="B126" s="191" t="s">
        <v>1059</v>
      </c>
      <c r="C126" s="188">
        <v>0</v>
      </c>
      <c r="D126" s="197">
        <v>0</v>
      </c>
      <c r="E126" s="140" t="s">
        <v>680</v>
      </c>
    </row>
    <row r="127" spans="1:8" ht="12" customHeight="1" x14ac:dyDescent="0.25">
      <c r="A127" s="194" t="s">
        <v>1047</v>
      </c>
      <c r="B127" s="191" t="s">
        <v>1060</v>
      </c>
      <c r="C127" s="188">
        <v>0</v>
      </c>
      <c r="D127" s="197">
        <v>0</v>
      </c>
      <c r="E127" s="140" t="s">
        <v>680</v>
      </c>
    </row>
    <row r="128" spans="1:8" ht="12" customHeight="1" x14ac:dyDescent="0.25">
      <c r="A128" s="194" t="s">
        <v>1048</v>
      </c>
      <c r="B128" s="191" t="s">
        <v>1061</v>
      </c>
      <c r="C128" s="188">
        <v>0</v>
      </c>
      <c r="D128" s="197">
        <v>0</v>
      </c>
      <c r="E128" s="140" t="s">
        <v>680</v>
      </c>
    </row>
    <row r="129" spans="1:5" ht="12" customHeight="1" x14ac:dyDescent="0.25">
      <c r="A129" s="194" t="s">
        <v>1049</v>
      </c>
      <c r="B129" s="191" t="s">
        <v>1062</v>
      </c>
      <c r="C129" s="188">
        <v>0</v>
      </c>
      <c r="D129" s="197">
        <v>0</v>
      </c>
      <c r="E129" s="140" t="s">
        <v>680</v>
      </c>
    </row>
    <row r="130" spans="1:5" ht="12" customHeight="1" x14ac:dyDescent="0.25">
      <c r="A130" s="162" t="s">
        <v>1050</v>
      </c>
      <c r="B130" s="151" t="s">
        <v>1063</v>
      </c>
      <c r="C130" s="152">
        <v>0</v>
      </c>
      <c r="D130" s="163">
        <v>0</v>
      </c>
      <c r="E130" s="138" t="s">
        <v>678</v>
      </c>
    </row>
    <row r="131" spans="1:5" ht="12" customHeight="1" x14ac:dyDescent="0.25">
      <c r="A131" s="74" t="s">
        <v>119</v>
      </c>
      <c r="B131" s="83" t="s">
        <v>282</v>
      </c>
      <c r="C131" s="73">
        <v>0</v>
      </c>
      <c r="D131" s="73">
        <v>0</v>
      </c>
    </row>
    <row r="132" spans="1:5" x14ac:dyDescent="0.25">
      <c r="A132" s="74" t="s">
        <v>121</v>
      </c>
      <c r="B132" s="72" t="s">
        <v>283</v>
      </c>
      <c r="C132" s="73">
        <v>0</v>
      </c>
      <c r="D132" s="73">
        <v>0</v>
      </c>
    </row>
    <row r="133" spans="1:5" x14ac:dyDescent="0.25">
      <c r="A133" s="74" t="s">
        <v>123</v>
      </c>
      <c r="B133" s="72" t="s">
        <v>284</v>
      </c>
      <c r="C133" s="73">
        <v>0</v>
      </c>
      <c r="D133" s="73">
        <v>0</v>
      </c>
    </row>
    <row r="134" spans="1:5" x14ac:dyDescent="0.25">
      <c r="A134" s="74" t="s">
        <v>127</v>
      </c>
      <c r="B134" s="72" t="s">
        <v>285</v>
      </c>
      <c r="C134" s="73">
        <v>0</v>
      </c>
      <c r="D134" s="73">
        <v>0</v>
      </c>
    </row>
    <row r="135" spans="1:5" x14ac:dyDescent="0.25">
      <c r="A135" s="74" t="s">
        <v>286</v>
      </c>
      <c r="B135" s="77" t="s">
        <v>287</v>
      </c>
      <c r="C135" s="73">
        <v>0</v>
      </c>
      <c r="D135" s="73">
        <v>0</v>
      </c>
    </row>
    <row r="136" spans="1:5" x14ac:dyDescent="0.25">
      <c r="A136" s="74" t="s">
        <v>288</v>
      </c>
      <c r="B136" s="72" t="s">
        <v>289</v>
      </c>
      <c r="C136" s="73">
        <v>0</v>
      </c>
      <c r="D136" s="73">
        <v>0</v>
      </c>
    </row>
    <row r="137" spans="1:5" x14ac:dyDescent="0.25">
      <c r="A137" s="74" t="s">
        <v>150</v>
      </c>
      <c r="B137" s="72" t="s">
        <v>290</v>
      </c>
      <c r="C137" s="73">
        <v>0</v>
      </c>
      <c r="D137" s="73">
        <v>0</v>
      </c>
    </row>
    <row r="138" spans="1:5" x14ac:dyDescent="0.25">
      <c r="A138" s="274" t="s">
        <v>291</v>
      </c>
      <c r="B138" s="274"/>
      <c r="C138" s="73">
        <f>C13+C41+C42+C49</f>
        <v>0</v>
      </c>
      <c r="D138" s="73">
        <f>D13+D41+D42+D49</f>
        <v>0</v>
      </c>
    </row>
    <row r="139" spans="1:5" x14ac:dyDescent="0.25">
      <c r="A139" s="274" t="s">
        <v>292</v>
      </c>
      <c r="B139" s="274"/>
      <c r="C139" s="73">
        <f>C138*19%</f>
        <v>0</v>
      </c>
      <c r="D139" s="73">
        <f>D138*19%</f>
        <v>0</v>
      </c>
    </row>
    <row r="140" spans="1:5" x14ac:dyDescent="0.25">
      <c r="A140" s="274" t="s">
        <v>293</v>
      </c>
      <c r="B140" s="274"/>
      <c r="C140" s="73">
        <f>C138+C139</f>
        <v>0</v>
      </c>
      <c r="D140" s="73">
        <f>D138+D139</f>
        <v>0</v>
      </c>
    </row>
  </sheetData>
  <mergeCells count="12">
    <mergeCell ref="A9:B9"/>
    <mergeCell ref="C9:D9"/>
    <mergeCell ref="A1:B1"/>
    <mergeCell ref="A2:B2"/>
    <mergeCell ref="A3:D3"/>
    <mergeCell ref="A4:D4"/>
    <mergeCell ref="B6:D6"/>
    <mergeCell ref="A10:A11"/>
    <mergeCell ref="B10:B11"/>
    <mergeCell ref="A138:B138"/>
    <mergeCell ref="A139:B139"/>
    <mergeCell ref="A140:B140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  <ignoredErrors>
    <ignoredError sqref="C116:D116" formulaRange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A38CB-62E4-4D8F-9FB2-5A3D617B8E8A}">
  <dimension ref="A1:H133"/>
  <sheetViews>
    <sheetView topLeftCell="A117" zoomScale="180" zoomScaleNormal="180" zoomScaleSheetLayoutView="100" workbookViewId="0">
      <selection activeCell="C131" sqref="C131"/>
    </sheetView>
  </sheetViews>
  <sheetFormatPr defaultRowHeight="12" x14ac:dyDescent="0.25"/>
  <cols>
    <col min="1" max="1" width="6.09765625" style="81" customWidth="1"/>
    <col min="2" max="2" width="57.69921875" style="67" customWidth="1"/>
    <col min="3" max="3" width="11.09765625" style="67" customWidth="1"/>
    <col min="4" max="4" width="10.69921875" style="67" customWidth="1"/>
    <col min="5" max="5" width="11" style="67" customWidth="1"/>
    <col min="6" max="6" width="8.69921875" style="67"/>
    <col min="7" max="7" width="13.09765625" style="67" customWidth="1"/>
    <col min="8" max="8" width="9.19921875" style="67" bestFit="1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DG!D84</f>
        <v>Statia 110/20 kV Iacobeni, jud. SV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C14+C15+C35+C38</f>
        <v>0</v>
      </c>
      <c r="D13" s="102">
        <f>D14+D15+D35+D38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SUM(C17:C34)</f>
        <v>0</v>
      </c>
      <c r="D15" s="68">
        <f>SUM(D17:D34)</f>
        <v>0</v>
      </c>
    </row>
    <row r="16" spans="1:5" x14ac:dyDescent="0.25">
      <c r="A16" s="109" t="s">
        <v>732</v>
      </c>
      <c r="B16" s="70" t="str">
        <f>DG!D25</f>
        <v>Statia 110/20 kV Iacobeni, jud. SV</v>
      </c>
      <c r="C16" s="66"/>
      <c r="D16" s="66"/>
    </row>
    <row r="17" spans="1:8" x14ac:dyDescent="0.25">
      <c r="A17" s="174" t="s">
        <v>1475</v>
      </c>
      <c r="B17" s="147" t="s">
        <v>1035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C17+C18+C19+C20+C21+C22+C25+C28+C29</f>
        <v>0</v>
      </c>
    </row>
    <row r="18" spans="1:8" x14ac:dyDescent="0.25">
      <c r="A18" s="174" t="s">
        <v>1476</v>
      </c>
      <c r="B18" s="147" t="s">
        <v>521</v>
      </c>
      <c r="C18" s="148">
        <v>0</v>
      </c>
      <c r="D18" s="149">
        <f t="shared" ref="D18:D27" si="0">C18</f>
        <v>0</v>
      </c>
      <c r="E18" s="137" t="s">
        <v>677</v>
      </c>
      <c r="G18" s="138" t="s">
        <v>678</v>
      </c>
      <c r="H18" s="164">
        <f>C31</f>
        <v>0</v>
      </c>
    </row>
    <row r="19" spans="1:8" x14ac:dyDescent="0.25">
      <c r="A19" s="174" t="s">
        <v>1477</v>
      </c>
      <c r="B19" s="147" t="s">
        <v>522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C23+C24+C26+C27+C30+SUM(C32:C34)</f>
        <v>0</v>
      </c>
    </row>
    <row r="20" spans="1:8" x14ac:dyDescent="0.25">
      <c r="A20" s="174" t="s">
        <v>1478</v>
      </c>
      <c r="B20" s="147" t="s">
        <v>523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33">
        <f>0</f>
        <v>0</v>
      </c>
    </row>
    <row r="21" spans="1:8" x14ac:dyDescent="0.25">
      <c r="A21" s="174" t="s">
        <v>1479</v>
      </c>
      <c r="B21" s="147" t="s">
        <v>524</v>
      </c>
      <c r="C21" s="148">
        <v>0</v>
      </c>
      <c r="D21" s="149">
        <f t="shared" si="0"/>
        <v>0</v>
      </c>
      <c r="E21" s="137" t="s">
        <v>677</v>
      </c>
    </row>
    <row r="22" spans="1:8" x14ac:dyDescent="0.25">
      <c r="A22" s="174" t="s">
        <v>1480</v>
      </c>
      <c r="B22" s="147" t="s">
        <v>525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x14ac:dyDescent="0.25">
      <c r="A23" s="175" t="s">
        <v>1481</v>
      </c>
      <c r="B23" s="155" t="s">
        <v>1487</v>
      </c>
      <c r="C23" s="156">
        <v>0</v>
      </c>
      <c r="D23" s="157">
        <f t="shared" si="0"/>
        <v>0</v>
      </c>
      <c r="E23" s="139" t="s">
        <v>679</v>
      </c>
    </row>
    <row r="24" spans="1:8" x14ac:dyDescent="0.25">
      <c r="A24" s="175" t="s">
        <v>1482</v>
      </c>
      <c r="B24" s="155" t="s">
        <v>1488</v>
      </c>
      <c r="C24" s="156">
        <v>0</v>
      </c>
      <c r="D24" s="157">
        <f t="shared" si="0"/>
        <v>0</v>
      </c>
      <c r="E24" s="139" t="s">
        <v>679</v>
      </c>
    </row>
    <row r="25" spans="1:8" x14ac:dyDescent="0.25">
      <c r="A25" s="174" t="s">
        <v>1483</v>
      </c>
      <c r="B25" s="147" t="s">
        <v>526</v>
      </c>
      <c r="C25" s="148">
        <v>0</v>
      </c>
      <c r="D25" s="149">
        <f t="shared" si="0"/>
        <v>0</v>
      </c>
      <c r="E25" s="137" t="s">
        <v>677</v>
      </c>
    </row>
    <row r="26" spans="1:8" x14ac:dyDescent="0.25">
      <c r="A26" s="175" t="s">
        <v>1484</v>
      </c>
      <c r="B26" s="155" t="s">
        <v>1489</v>
      </c>
      <c r="C26" s="156">
        <v>0</v>
      </c>
      <c r="D26" s="157">
        <f t="shared" si="0"/>
        <v>0</v>
      </c>
      <c r="E26" s="139" t="s">
        <v>679</v>
      </c>
    </row>
    <row r="27" spans="1:8" x14ac:dyDescent="0.25">
      <c r="A27" s="175" t="s">
        <v>1485</v>
      </c>
      <c r="B27" s="155" t="s">
        <v>527</v>
      </c>
      <c r="C27" s="156">
        <v>0</v>
      </c>
      <c r="D27" s="157">
        <f t="shared" si="0"/>
        <v>0</v>
      </c>
      <c r="E27" s="139" t="s">
        <v>679</v>
      </c>
    </row>
    <row r="28" spans="1:8" x14ac:dyDescent="0.25">
      <c r="A28" s="174" t="s">
        <v>1486</v>
      </c>
      <c r="B28" s="147" t="s">
        <v>1490</v>
      </c>
      <c r="C28" s="148">
        <v>0</v>
      </c>
      <c r="D28" s="149">
        <f t="shared" ref="D28:D35" si="1">C28</f>
        <v>0</v>
      </c>
      <c r="E28" s="137" t="s">
        <v>677</v>
      </c>
    </row>
    <row r="29" spans="1:8" x14ac:dyDescent="0.25">
      <c r="A29" s="146" t="s">
        <v>1831</v>
      </c>
      <c r="B29" s="147" t="s">
        <v>205</v>
      </c>
      <c r="C29" s="148">
        <v>0</v>
      </c>
      <c r="D29" s="149">
        <f t="shared" si="1"/>
        <v>0</v>
      </c>
      <c r="E29" s="137" t="s">
        <v>677</v>
      </c>
    </row>
    <row r="30" spans="1:8" x14ac:dyDescent="0.25">
      <c r="A30" s="154" t="s">
        <v>1832</v>
      </c>
      <c r="B30" s="155" t="s">
        <v>1492</v>
      </c>
      <c r="C30" s="156">
        <v>0</v>
      </c>
      <c r="D30" s="157">
        <f t="shared" si="1"/>
        <v>0</v>
      </c>
      <c r="E30" s="139" t="s">
        <v>679</v>
      </c>
    </row>
    <row r="31" spans="1:8" x14ac:dyDescent="0.25">
      <c r="A31" s="150" t="s">
        <v>1833</v>
      </c>
      <c r="B31" s="151" t="s">
        <v>206</v>
      </c>
      <c r="C31" s="152">
        <v>0</v>
      </c>
      <c r="D31" s="153">
        <f t="shared" si="1"/>
        <v>0</v>
      </c>
      <c r="E31" s="138" t="s">
        <v>678</v>
      </c>
    </row>
    <row r="32" spans="1:8" x14ac:dyDescent="0.25">
      <c r="A32" s="154" t="s">
        <v>1834</v>
      </c>
      <c r="B32" s="155" t="s">
        <v>1493</v>
      </c>
      <c r="C32" s="156">
        <v>0</v>
      </c>
      <c r="D32" s="157">
        <f t="shared" si="1"/>
        <v>0</v>
      </c>
      <c r="E32" s="139" t="s">
        <v>679</v>
      </c>
    </row>
    <row r="33" spans="1:5" x14ac:dyDescent="0.25">
      <c r="A33" s="154" t="s">
        <v>1835</v>
      </c>
      <c r="B33" s="155" t="s">
        <v>1143</v>
      </c>
      <c r="C33" s="156">
        <v>0</v>
      </c>
      <c r="D33" s="157">
        <f t="shared" si="1"/>
        <v>0</v>
      </c>
      <c r="E33" s="139" t="s">
        <v>679</v>
      </c>
    </row>
    <row r="34" spans="1:5" x14ac:dyDescent="0.25">
      <c r="A34" s="154" t="s">
        <v>1836</v>
      </c>
      <c r="B34" s="155" t="s">
        <v>528</v>
      </c>
      <c r="C34" s="156">
        <v>0</v>
      </c>
      <c r="D34" s="157">
        <f t="shared" si="1"/>
        <v>0</v>
      </c>
      <c r="E34" s="139" t="s">
        <v>679</v>
      </c>
    </row>
    <row r="35" spans="1:5" x14ac:dyDescent="0.25">
      <c r="A35" s="94" t="s">
        <v>39</v>
      </c>
      <c r="B35" s="95" t="s">
        <v>185</v>
      </c>
      <c r="C35" s="96">
        <f>C37</f>
        <v>0</v>
      </c>
      <c r="D35" s="97">
        <f t="shared" si="1"/>
        <v>0</v>
      </c>
    </row>
    <row r="36" spans="1:5" ht="11.1" customHeight="1" x14ac:dyDescent="0.25">
      <c r="A36" s="69" t="s">
        <v>737</v>
      </c>
      <c r="B36" s="75" t="str">
        <f>DG!D38</f>
        <v>Statia 110/20 kV Iacobeni, jud. SV</v>
      </c>
      <c r="C36" s="89"/>
      <c r="D36" s="66"/>
    </row>
    <row r="37" spans="1:5" s="76" customFormat="1" ht="11.1" customHeight="1" x14ac:dyDescent="0.25">
      <c r="A37" s="69" t="s">
        <v>1491</v>
      </c>
      <c r="B37" s="82" t="s">
        <v>186</v>
      </c>
      <c r="C37" s="118">
        <v>0</v>
      </c>
      <c r="D37" s="66">
        <f>C37</f>
        <v>0</v>
      </c>
    </row>
    <row r="38" spans="1:5" ht="11.1" customHeight="1" x14ac:dyDescent="0.25">
      <c r="A38" s="94" t="s">
        <v>187</v>
      </c>
      <c r="B38" s="98" t="s">
        <v>48</v>
      </c>
      <c r="C38" s="96">
        <v>0</v>
      </c>
      <c r="D38" s="71">
        <v>0</v>
      </c>
    </row>
    <row r="39" spans="1:5" x14ac:dyDescent="0.25">
      <c r="A39" s="103" t="s">
        <v>188</v>
      </c>
      <c r="B39" s="104" t="s">
        <v>189</v>
      </c>
      <c r="C39" s="105">
        <v>0</v>
      </c>
      <c r="D39" s="102">
        <v>0</v>
      </c>
    </row>
    <row r="40" spans="1:5" x14ac:dyDescent="0.25">
      <c r="A40" s="103" t="s">
        <v>190</v>
      </c>
      <c r="B40" s="104" t="s">
        <v>69</v>
      </c>
      <c r="C40" s="106">
        <f>SUM(C41:C46)</f>
        <v>0</v>
      </c>
      <c r="D40" s="106">
        <f>SUM(D41:D46)</f>
        <v>0</v>
      </c>
    </row>
    <row r="41" spans="1:5" ht="12" customHeight="1" x14ac:dyDescent="0.25">
      <c r="A41" s="74" t="s">
        <v>191</v>
      </c>
      <c r="B41" s="72" t="s">
        <v>192</v>
      </c>
      <c r="C41" s="73">
        <v>0</v>
      </c>
      <c r="D41" s="73">
        <v>0</v>
      </c>
    </row>
    <row r="42" spans="1:5" x14ac:dyDescent="0.25">
      <c r="A42" s="74" t="s">
        <v>193</v>
      </c>
      <c r="B42" s="72" t="s">
        <v>194</v>
      </c>
      <c r="C42" s="73">
        <v>0</v>
      </c>
      <c r="D42" s="73">
        <v>0</v>
      </c>
    </row>
    <row r="43" spans="1:5" ht="22.8" x14ac:dyDescent="0.25">
      <c r="A43" s="74" t="s">
        <v>195</v>
      </c>
      <c r="B43" s="83" t="s">
        <v>196</v>
      </c>
      <c r="C43" s="73">
        <v>0</v>
      </c>
      <c r="D43" s="73">
        <v>0</v>
      </c>
    </row>
    <row r="44" spans="1:5" ht="12" customHeight="1" x14ac:dyDescent="0.25">
      <c r="A44" s="74" t="s">
        <v>197</v>
      </c>
      <c r="B44" s="83" t="s">
        <v>198</v>
      </c>
      <c r="C44" s="73">
        <v>0</v>
      </c>
      <c r="D44" s="73">
        <v>0</v>
      </c>
    </row>
    <row r="45" spans="1:5" ht="12" customHeight="1" x14ac:dyDescent="0.25">
      <c r="A45" s="74" t="s">
        <v>199</v>
      </c>
      <c r="B45" s="83" t="s">
        <v>200</v>
      </c>
      <c r="C45" s="73">
        <v>0</v>
      </c>
      <c r="D45" s="73">
        <v>0</v>
      </c>
    </row>
    <row r="46" spans="1:5" x14ac:dyDescent="0.25">
      <c r="A46" s="74" t="s">
        <v>201</v>
      </c>
      <c r="B46" s="72" t="s">
        <v>202</v>
      </c>
      <c r="C46" s="73">
        <v>0</v>
      </c>
      <c r="D46" s="73">
        <v>0</v>
      </c>
    </row>
    <row r="47" spans="1:5" ht="10.199999999999999" customHeight="1" x14ac:dyDescent="0.25">
      <c r="A47" s="103" t="s">
        <v>203</v>
      </c>
      <c r="B47" s="104" t="s">
        <v>204</v>
      </c>
      <c r="C47" s="105">
        <f>C48+C96+C111</f>
        <v>0</v>
      </c>
      <c r="D47" s="105">
        <f>D48+D96+D111</f>
        <v>0</v>
      </c>
    </row>
    <row r="48" spans="1:5" x14ac:dyDescent="0.25">
      <c r="A48" s="94" t="s">
        <v>92</v>
      </c>
      <c r="B48" s="99" t="s">
        <v>157</v>
      </c>
      <c r="C48" s="68">
        <f>SUM(C50:C95)</f>
        <v>0</v>
      </c>
      <c r="D48" s="68">
        <f>SUM(D50:D95)</f>
        <v>0</v>
      </c>
    </row>
    <row r="49" spans="1:8" x14ac:dyDescent="0.25">
      <c r="A49" s="87" t="s">
        <v>704</v>
      </c>
      <c r="B49" s="79" t="str">
        <f>DG!D84</f>
        <v>Statia 110/20 kV Iacobeni, jud. SV</v>
      </c>
      <c r="C49" s="80"/>
      <c r="D49" s="90"/>
    </row>
    <row r="50" spans="1:8" x14ac:dyDescent="0.25">
      <c r="A50" s="146" t="s">
        <v>1494</v>
      </c>
      <c r="B50" s="147" t="s">
        <v>626</v>
      </c>
      <c r="C50" s="148">
        <v>0</v>
      </c>
      <c r="D50" s="149">
        <f t="shared" ref="D50:D95" si="2">C50</f>
        <v>0</v>
      </c>
      <c r="E50" s="137" t="s">
        <v>677</v>
      </c>
      <c r="G50" s="137" t="s">
        <v>677</v>
      </c>
      <c r="H50" s="133">
        <f>C50+C51+C52+C53+C54+C55+C56+C60+C61+C70+C84</f>
        <v>0</v>
      </c>
    </row>
    <row r="51" spans="1:8" x14ac:dyDescent="0.25">
      <c r="A51" s="146" t="s">
        <v>1495</v>
      </c>
      <c r="B51" s="147" t="s">
        <v>628</v>
      </c>
      <c r="C51" s="148">
        <v>0</v>
      </c>
      <c r="D51" s="149">
        <f t="shared" si="2"/>
        <v>0</v>
      </c>
      <c r="E51" s="137" t="s">
        <v>677</v>
      </c>
      <c r="G51" s="138" t="s">
        <v>678</v>
      </c>
      <c r="H51" s="133">
        <f>C74+C78+C79+C80+C83+C87+C88</f>
        <v>0</v>
      </c>
    </row>
    <row r="52" spans="1:8" x14ac:dyDescent="0.25">
      <c r="A52" s="146" t="s">
        <v>1496</v>
      </c>
      <c r="B52" s="147" t="s">
        <v>314</v>
      </c>
      <c r="C52" s="148">
        <v>0</v>
      </c>
      <c r="D52" s="149">
        <f t="shared" si="2"/>
        <v>0</v>
      </c>
      <c r="E52" s="137" t="s">
        <v>677</v>
      </c>
      <c r="G52" s="139" t="s">
        <v>679</v>
      </c>
      <c r="H52" s="133">
        <f>C57+C58+C59+C62+C63+C81+C82+C85+C86</f>
        <v>0</v>
      </c>
    </row>
    <row r="53" spans="1:8" x14ac:dyDescent="0.25">
      <c r="A53" s="146" t="s">
        <v>1497</v>
      </c>
      <c r="B53" s="147" t="s">
        <v>316</v>
      </c>
      <c r="C53" s="148">
        <v>0</v>
      </c>
      <c r="D53" s="149">
        <f t="shared" si="2"/>
        <v>0</v>
      </c>
      <c r="E53" s="137" t="s">
        <v>677</v>
      </c>
      <c r="G53" s="140" t="s">
        <v>680</v>
      </c>
      <c r="H53" s="133">
        <f>C64+C65+C66+C67+C68+C69+C71+C72+C73+C75+C76+C77+C89+C90+C91+C92+C93</f>
        <v>0</v>
      </c>
    </row>
    <row r="54" spans="1:8" x14ac:dyDescent="0.25">
      <c r="A54" s="146" t="s">
        <v>1498</v>
      </c>
      <c r="B54" s="147" t="s">
        <v>390</v>
      </c>
      <c r="C54" s="148">
        <v>0</v>
      </c>
      <c r="D54" s="149">
        <f t="shared" si="2"/>
        <v>0</v>
      </c>
      <c r="E54" s="137" t="s">
        <v>677</v>
      </c>
      <c r="G54" s="141" t="s">
        <v>681</v>
      </c>
      <c r="H54" s="133">
        <f>C94+C95</f>
        <v>0</v>
      </c>
    </row>
    <row r="55" spans="1:8" x14ac:dyDescent="0.25">
      <c r="A55" s="146" t="s">
        <v>1499</v>
      </c>
      <c r="B55" s="147" t="s">
        <v>392</v>
      </c>
      <c r="C55" s="148">
        <v>0</v>
      </c>
      <c r="D55" s="149">
        <f t="shared" si="2"/>
        <v>0</v>
      </c>
      <c r="E55" s="137" t="s">
        <v>677</v>
      </c>
    </row>
    <row r="56" spans="1:8" x14ac:dyDescent="0.25">
      <c r="A56" s="146" t="s">
        <v>1500</v>
      </c>
      <c r="B56" s="147" t="s">
        <v>635</v>
      </c>
      <c r="C56" s="148">
        <v>0</v>
      </c>
      <c r="D56" s="149">
        <f t="shared" si="2"/>
        <v>0</v>
      </c>
      <c r="E56" s="137" t="s">
        <v>677</v>
      </c>
      <c r="H56" s="169">
        <f>C48-H50-H51-H52-H53-H54</f>
        <v>0</v>
      </c>
    </row>
    <row r="57" spans="1:8" x14ac:dyDescent="0.25">
      <c r="A57" s="154" t="s">
        <v>1501</v>
      </c>
      <c r="B57" s="155" t="s">
        <v>1540</v>
      </c>
      <c r="C57" s="156">
        <v>0</v>
      </c>
      <c r="D57" s="157">
        <f t="shared" si="2"/>
        <v>0</v>
      </c>
      <c r="E57" s="139" t="s">
        <v>679</v>
      </c>
    </row>
    <row r="58" spans="1:8" x14ac:dyDescent="0.25">
      <c r="A58" s="154" t="s">
        <v>1502</v>
      </c>
      <c r="B58" s="155" t="s">
        <v>1541</v>
      </c>
      <c r="C58" s="156">
        <v>0</v>
      </c>
      <c r="D58" s="157">
        <f t="shared" si="2"/>
        <v>0</v>
      </c>
      <c r="E58" s="139" t="s">
        <v>679</v>
      </c>
    </row>
    <row r="59" spans="1:8" x14ac:dyDescent="0.25">
      <c r="A59" s="154" t="s">
        <v>1503</v>
      </c>
      <c r="B59" s="155" t="s">
        <v>1415</v>
      </c>
      <c r="C59" s="156">
        <v>0</v>
      </c>
      <c r="D59" s="157">
        <f t="shared" si="2"/>
        <v>0</v>
      </c>
      <c r="E59" s="139" t="s">
        <v>679</v>
      </c>
    </row>
    <row r="60" spans="1:8" x14ac:dyDescent="0.25">
      <c r="A60" s="146" t="s">
        <v>1504</v>
      </c>
      <c r="B60" s="147" t="s">
        <v>1542</v>
      </c>
      <c r="C60" s="148">
        <v>0</v>
      </c>
      <c r="D60" s="149">
        <f t="shared" si="2"/>
        <v>0</v>
      </c>
      <c r="E60" s="137" t="s">
        <v>677</v>
      </c>
    </row>
    <row r="61" spans="1:8" x14ac:dyDescent="0.25">
      <c r="A61" s="146" t="s">
        <v>1505</v>
      </c>
      <c r="B61" s="147" t="s">
        <v>1543</v>
      </c>
      <c r="C61" s="148">
        <v>0</v>
      </c>
      <c r="D61" s="149">
        <f t="shared" si="2"/>
        <v>0</v>
      </c>
      <c r="E61" s="137" t="s">
        <v>677</v>
      </c>
    </row>
    <row r="62" spans="1:8" x14ac:dyDescent="0.25">
      <c r="A62" s="154" t="s">
        <v>1506</v>
      </c>
      <c r="B62" s="155" t="s">
        <v>1544</v>
      </c>
      <c r="C62" s="156">
        <v>0</v>
      </c>
      <c r="D62" s="157">
        <f t="shared" si="2"/>
        <v>0</v>
      </c>
      <c r="E62" s="139" t="s">
        <v>679</v>
      </c>
    </row>
    <row r="63" spans="1:8" x14ac:dyDescent="0.25">
      <c r="A63" s="154" t="s">
        <v>1507</v>
      </c>
      <c r="B63" s="155" t="s">
        <v>1545</v>
      </c>
      <c r="C63" s="156">
        <v>0</v>
      </c>
      <c r="D63" s="157">
        <f t="shared" si="2"/>
        <v>0</v>
      </c>
      <c r="E63" s="139" t="s">
        <v>679</v>
      </c>
    </row>
    <row r="64" spans="1:8" x14ac:dyDescent="0.25">
      <c r="A64" s="190" t="s">
        <v>1508</v>
      </c>
      <c r="B64" s="191" t="s">
        <v>1546</v>
      </c>
      <c r="C64" s="188">
        <v>0</v>
      </c>
      <c r="D64" s="189">
        <f t="shared" si="2"/>
        <v>0</v>
      </c>
      <c r="E64" s="140" t="s">
        <v>680</v>
      </c>
    </row>
    <row r="65" spans="1:5" x14ac:dyDescent="0.25">
      <c r="A65" s="190" t="s">
        <v>1509</v>
      </c>
      <c r="B65" s="191" t="s">
        <v>1547</v>
      </c>
      <c r="C65" s="188">
        <v>0</v>
      </c>
      <c r="D65" s="189">
        <f t="shared" si="2"/>
        <v>0</v>
      </c>
      <c r="E65" s="140" t="s">
        <v>680</v>
      </c>
    </row>
    <row r="66" spans="1:5" x14ac:dyDescent="0.25">
      <c r="A66" s="190" t="s">
        <v>1510</v>
      </c>
      <c r="B66" s="191" t="s">
        <v>1548</v>
      </c>
      <c r="C66" s="188">
        <v>0</v>
      </c>
      <c r="D66" s="189">
        <f t="shared" si="2"/>
        <v>0</v>
      </c>
      <c r="E66" s="140" t="s">
        <v>680</v>
      </c>
    </row>
    <row r="67" spans="1:5" x14ac:dyDescent="0.25">
      <c r="A67" s="190" t="s">
        <v>1511</v>
      </c>
      <c r="B67" s="191" t="s">
        <v>676</v>
      </c>
      <c r="C67" s="188">
        <v>0</v>
      </c>
      <c r="D67" s="189">
        <f t="shared" si="2"/>
        <v>0</v>
      </c>
      <c r="E67" s="140" t="s">
        <v>680</v>
      </c>
    </row>
    <row r="68" spans="1:5" x14ac:dyDescent="0.25">
      <c r="A68" s="190" t="s">
        <v>1512</v>
      </c>
      <c r="B68" s="191" t="s">
        <v>1549</v>
      </c>
      <c r="C68" s="188">
        <v>0</v>
      </c>
      <c r="D68" s="189">
        <f t="shared" si="2"/>
        <v>0</v>
      </c>
      <c r="E68" s="140" t="s">
        <v>680</v>
      </c>
    </row>
    <row r="69" spans="1:5" x14ac:dyDescent="0.25">
      <c r="A69" s="190" t="s">
        <v>1513</v>
      </c>
      <c r="B69" s="191" t="s">
        <v>674</v>
      </c>
      <c r="C69" s="188">
        <v>0</v>
      </c>
      <c r="D69" s="189">
        <f t="shared" si="2"/>
        <v>0</v>
      </c>
      <c r="E69" s="140" t="s">
        <v>680</v>
      </c>
    </row>
    <row r="70" spans="1:5" x14ac:dyDescent="0.25">
      <c r="A70" s="146" t="s">
        <v>1514</v>
      </c>
      <c r="B70" s="147" t="s">
        <v>1550</v>
      </c>
      <c r="C70" s="148">
        <v>0</v>
      </c>
      <c r="D70" s="149">
        <f t="shared" si="2"/>
        <v>0</v>
      </c>
      <c r="E70" s="137" t="s">
        <v>677</v>
      </c>
    </row>
    <row r="71" spans="1:5" x14ac:dyDescent="0.25">
      <c r="A71" s="190" t="s">
        <v>1515</v>
      </c>
      <c r="B71" s="191" t="s">
        <v>228</v>
      </c>
      <c r="C71" s="188">
        <v>0</v>
      </c>
      <c r="D71" s="189">
        <f t="shared" si="2"/>
        <v>0</v>
      </c>
      <c r="E71" s="140" t="s">
        <v>680</v>
      </c>
    </row>
    <row r="72" spans="1:5" x14ac:dyDescent="0.25">
      <c r="A72" s="190" t="s">
        <v>1516</v>
      </c>
      <c r="B72" s="191" t="s">
        <v>1422</v>
      </c>
      <c r="C72" s="188">
        <v>0</v>
      </c>
      <c r="D72" s="189">
        <f t="shared" si="2"/>
        <v>0</v>
      </c>
      <c r="E72" s="140" t="s">
        <v>680</v>
      </c>
    </row>
    <row r="73" spans="1:5" x14ac:dyDescent="0.25">
      <c r="A73" s="190" t="s">
        <v>1517</v>
      </c>
      <c r="B73" s="191" t="s">
        <v>1551</v>
      </c>
      <c r="C73" s="188">
        <v>0</v>
      </c>
      <c r="D73" s="189">
        <f t="shared" si="2"/>
        <v>0</v>
      </c>
      <c r="E73" s="140" t="s">
        <v>680</v>
      </c>
    </row>
    <row r="74" spans="1:5" x14ac:dyDescent="0.25">
      <c r="A74" s="150" t="s">
        <v>1518</v>
      </c>
      <c r="B74" s="151" t="s">
        <v>1150</v>
      </c>
      <c r="C74" s="152">
        <v>0</v>
      </c>
      <c r="D74" s="153">
        <f t="shared" si="2"/>
        <v>0</v>
      </c>
      <c r="E74" s="138" t="s">
        <v>678</v>
      </c>
    </row>
    <row r="75" spans="1:5" x14ac:dyDescent="0.25">
      <c r="A75" s="190" t="s">
        <v>1519</v>
      </c>
      <c r="B75" s="191" t="s">
        <v>320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90" t="s">
        <v>1520</v>
      </c>
      <c r="B76" s="191" t="s">
        <v>437</v>
      </c>
      <c r="C76" s="188">
        <v>0</v>
      </c>
      <c r="D76" s="189">
        <f t="shared" si="2"/>
        <v>0</v>
      </c>
      <c r="E76" s="140" t="s">
        <v>680</v>
      </c>
    </row>
    <row r="77" spans="1:5" x14ac:dyDescent="0.25">
      <c r="A77" s="190" t="s">
        <v>1521</v>
      </c>
      <c r="B77" s="191" t="s">
        <v>438</v>
      </c>
      <c r="C77" s="188">
        <v>0</v>
      </c>
      <c r="D77" s="189">
        <f t="shared" si="2"/>
        <v>0</v>
      </c>
      <c r="E77" s="140" t="s">
        <v>680</v>
      </c>
    </row>
    <row r="78" spans="1:5" x14ac:dyDescent="0.25">
      <c r="A78" s="150" t="s">
        <v>1522</v>
      </c>
      <c r="B78" s="151" t="s">
        <v>439</v>
      </c>
      <c r="C78" s="152">
        <v>0</v>
      </c>
      <c r="D78" s="153">
        <f t="shared" si="2"/>
        <v>0</v>
      </c>
      <c r="E78" s="138" t="s">
        <v>678</v>
      </c>
    </row>
    <row r="79" spans="1:5" x14ac:dyDescent="0.25">
      <c r="A79" s="150" t="s">
        <v>1523</v>
      </c>
      <c r="B79" s="151" t="s">
        <v>511</v>
      </c>
      <c r="C79" s="152">
        <v>0</v>
      </c>
      <c r="D79" s="153">
        <f t="shared" si="2"/>
        <v>0</v>
      </c>
      <c r="E79" s="138" t="s">
        <v>678</v>
      </c>
    </row>
    <row r="80" spans="1:5" x14ac:dyDescent="0.25">
      <c r="A80" s="150" t="s">
        <v>1524</v>
      </c>
      <c r="B80" s="151" t="s">
        <v>1552</v>
      </c>
      <c r="C80" s="152">
        <v>0</v>
      </c>
      <c r="D80" s="153">
        <f t="shared" si="2"/>
        <v>0</v>
      </c>
      <c r="E80" s="138" t="s">
        <v>678</v>
      </c>
    </row>
    <row r="81" spans="1:6" x14ac:dyDescent="0.25">
      <c r="A81" s="154" t="s">
        <v>1525</v>
      </c>
      <c r="B81" s="155" t="s">
        <v>1432</v>
      </c>
      <c r="C81" s="156">
        <v>0</v>
      </c>
      <c r="D81" s="157">
        <f t="shared" si="2"/>
        <v>0</v>
      </c>
      <c r="E81" s="139" t="s">
        <v>679</v>
      </c>
    </row>
    <row r="82" spans="1:6" x14ac:dyDescent="0.25">
      <c r="A82" s="154" t="s">
        <v>1526</v>
      </c>
      <c r="B82" s="155" t="s">
        <v>1153</v>
      </c>
      <c r="C82" s="156">
        <v>0</v>
      </c>
      <c r="D82" s="157">
        <f t="shared" si="2"/>
        <v>0</v>
      </c>
      <c r="E82" s="139" t="s">
        <v>679</v>
      </c>
    </row>
    <row r="83" spans="1:6" x14ac:dyDescent="0.25">
      <c r="A83" s="150" t="s">
        <v>1527</v>
      </c>
      <c r="B83" s="151" t="s">
        <v>1154</v>
      </c>
      <c r="C83" s="152">
        <v>0</v>
      </c>
      <c r="D83" s="153">
        <f t="shared" si="2"/>
        <v>0</v>
      </c>
      <c r="E83" s="138" t="s">
        <v>678</v>
      </c>
    </row>
    <row r="84" spans="1:6" x14ac:dyDescent="0.25">
      <c r="A84" s="146" t="s">
        <v>1528</v>
      </c>
      <c r="B84" s="147" t="s">
        <v>1553</v>
      </c>
      <c r="C84" s="148">
        <v>0</v>
      </c>
      <c r="D84" s="149">
        <f t="shared" si="2"/>
        <v>0</v>
      </c>
      <c r="E84" s="137" t="s">
        <v>677</v>
      </c>
    </row>
    <row r="85" spans="1:6" x14ac:dyDescent="0.25">
      <c r="A85" s="154" t="s">
        <v>1529</v>
      </c>
      <c r="B85" s="155" t="s">
        <v>1554</v>
      </c>
      <c r="C85" s="156">
        <v>0</v>
      </c>
      <c r="D85" s="157">
        <f t="shared" si="2"/>
        <v>0</v>
      </c>
      <c r="E85" s="139" t="s">
        <v>679</v>
      </c>
    </row>
    <row r="86" spans="1:6" x14ac:dyDescent="0.25">
      <c r="A86" s="154" t="s">
        <v>1530</v>
      </c>
      <c r="B86" s="155" t="s">
        <v>244</v>
      </c>
      <c r="C86" s="156">
        <v>0</v>
      </c>
      <c r="D86" s="157">
        <f t="shared" si="2"/>
        <v>0</v>
      </c>
      <c r="E86" s="139" t="s">
        <v>679</v>
      </c>
    </row>
    <row r="87" spans="1:6" x14ac:dyDescent="0.25">
      <c r="A87" s="150" t="s">
        <v>1531</v>
      </c>
      <c r="B87" s="151" t="s">
        <v>246</v>
      </c>
      <c r="C87" s="152">
        <v>0</v>
      </c>
      <c r="D87" s="153">
        <f t="shared" si="2"/>
        <v>0</v>
      </c>
      <c r="E87" s="138" t="s">
        <v>678</v>
      </c>
    </row>
    <row r="88" spans="1:6" x14ac:dyDescent="0.25">
      <c r="A88" s="150" t="s">
        <v>1532</v>
      </c>
      <c r="B88" s="151" t="s">
        <v>248</v>
      </c>
      <c r="C88" s="152">
        <v>0</v>
      </c>
      <c r="D88" s="153">
        <f t="shared" si="2"/>
        <v>0</v>
      </c>
      <c r="E88" s="138" t="s">
        <v>678</v>
      </c>
    </row>
    <row r="89" spans="1:6" x14ac:dyDescent="0.25">
      <c r="A89" s="190" t="s">
        <v>1533</v>
      </c>
      <c r="B89" s="191" t="s">
        <v>1555</v>
      </c>
      <c r="C89" s="188">
        <v>0</v>
      </c>
      <c r="D89" s="189">
        <f t="shared" si="2"/>
        <v>0</v>
      </c>
      <c r="E89" s="140" t="s">
        <v>680</v>
      </c>
    </row>
    <row r="90" spans="1:6" x14ac:dyDescent="0.25">
      <c r="A90" s="190" t="s">
        <v>1534</v>
      </c>
      <c r="B90" s="191" t="s">
        <v>1556</v>
      </c>
      <c r="C90" s="188">
        <v>0</v>
      </c>
      <c r="D90" s="189">
        <f t="shared" si="2"/>
        <v>0</v>
      </c>
      <c r="E90" s="140" t="s">
        <v>680</v>
      </c>
    </row>
    <row r="91" spans="1:6" x14ac:dyDescent="0.25">
      <c r="A91" s="190" t="s">
        <v>1535</v>
      </c>
      <c r="B91" s="191" t="s">
        <v>254</v>
      </c>
      <c r="C91" s="188">
        <v>0</v>
      </c>
      <c r="D91" s="189">
        <f t="shared" si="2"/>
        <v>0</v>
      </c>
      <c r="E91" s="140" t="s">
        <v>680</v>
      </c>
    </row>
    <row r="92" spans="1:6" x14ac:dyDescent="0.25">
      <c r="A92" s="190" t="s">
        <v>1536</v>
      </c>
      <c r="B92" s="191" t="s">
        <v>1151</v>
      </c>
      <c r="C92" s="188">
        <v>0</v>
      </c>
      <c r="D92" s="189">
        <f t="shared" si="2"/>
        <v>0</v>
      </c>
      <c r="E92" s="140" t="s">
        <v>680</v>
      </c>
    </row>
    <row r="93" spans="1:6" x14ac:dyDescent="0.25">
      <c r="A93" s="190" t="s">
        <v>1537</v>
      </c>
      <c r="B93" s="191" t="s">
        <v>256</v>
      </c>
      <c r="C93" s="188">
        <v>0</v>
      </c>
      <c r="D93" s="189">
        <f t="shared" si="2"/>
        <v>0</v>
      </c>
      <c r="E93" s="140" t="s">
        <v>680</v>
      </c>
      <c r="F93" s="67" t="s">
        <v>163</v>
      </c>
    </row>
    <row r="94" spans="1:6" x14ac:dyDescent="0.25">
      <c r="A94" s="142" t="s">
        <v>1538</v>
      </c>
      <c r="B94" s="143" t="s">
        <v>258</v>
      </c>
      <c r="C94" s="144">
        <v>0</v>
      </c>
      <c r="D94" s="145">
        <f t="shared" si="2"/>
        <v>0</v>
      </c>
      <c r="E94" s="141" t="s">
        <v>681</v>
      </c>
    </row>
    <row r="95" spans="1:6" x14ac:dyDescent="0.25">
      <c r="A95" s="142" t="s">
        <v>1539</v>
      </c>
      <c r="B95" s="143" t="s">
        <v>260</v>
      </c>
      <c r="C95" s="144">
        <v>0</v>
      </c>
      <c r="D95" s="145">
        <f t="shared" si="2"/>
        <v>0</v>
      </c>
      <c r="E95" s="141" t="s">
        <v>681</v>
      </c>
      <c r="F95" s="67" t="s">
        <v>158</v>
      </c>
    </row>
    <row r="96" spans="1:6" x14ac:dyDescent="0.25">
      <c r="A96" s="94" t="s">
        <v>101</v>
      </c>
      <c r="B96" s="99" t="s">
        <v>261</v>
      </c>
      <c r="C96" s="68">
        <f>SUM(C98:C110)</f>
        <v>0</v>
      </c>
      <c r="D96" s="68">
        <f>SUM(D98:D110)</f>
        <v>0</v>
      </c>
    </row>
    <row r="97" spans="1:8" x14ac:dyDescent="0.25">
      <c r="A97" s="87" t="s">
        <v>722</v>
      </c>
      <c r="B97" s="111" t="str">
        <f>DG!D97</f>
        <v>Statia 110/20 kV Iacobeni, jud. SV</v>
      </c>
      <c r="C97" s="89"/>
      <c r="D97" s="90"/>
    </row>
    <row r="98" spans="1:8" x14ac:dyDescent="0.25">
      <c r="A98" s="158" t="s">
        <v>1557</v>
      </c>
      <c r="B98" s="147" t="s">
        <v>1446</v>
      </c>
      <c r="C98" s="148">
        <v>0</v>
      </c>
      <c r="D98" s="149">
        <f t="shared" ref="D98:D110" si="3">C98</f>
        <v>0</v>
      </c>
      <c r="E98" s="137" t="s">
        <v>677</v>
      </c>
      <c r="G98" s="137" t="s">
        <v>677</v>
      </c>
      <c r="H98" s="164">
        <f>C98</f>
        <v>0</v>
      </c>
    </row>
    <row r="99" spans="1:8" x14ac:dyDescent="0.25">
      <c r="A99" s="162" t="s">
        <v>1558</v>
      </c>
      <c r="B99" s="151" t="s">
        <v>1570</v>
      </c>
      <c r="C99" s="152">
        <v>0</v>
      </c>
      <c r="D99" s="153">
        <f t="shared" si="3"/>
        <v>0</v>
      </c>
      <c r="E99" s="138" t="s">
        <v>678</v>
      </c>
      <c r="G99" s="138" t="s">
        <v>678</v>
      </c>
      <c r="H99" s="133">
        <f>C99+C101+C103+C105+C106+C108</f>
        <v>0</v>
      </c>
    </row>
    <row r="100" spans="1:8" ht="12" customHeight="1" x14ac:dyDescent="0.25">
      <c r="A100" s="160" t="s">
        <v>1559</v>
      </c>
      <c r="B100" s="155" t="s">
        <v>1571</v>
      </c>
      <c r="C100" s="156">
        <v>0</v>
      </c>
      <c r="D100" s="157">
        <f t="shared" si="3"/>
        <v>0</v>
      </c>
      <c r="E100" s="139" t="s">
        <v>679</v>
      </c>
      <c r="G100" s="139" t="s">
        <v>679</v>
      </c>
      <c r="H100" s="133">
        <f>C100+C102+C104+C109</f>
        <v>0</v>
      </c>
    </row>
    <row r="101" spans="1:8" ht="12" customHeight="1" x14ac:dyDescent="0.25">
      <c r="A101" s="162" t="s">
        <v>1560</v>
      </c>
      <c r="B101" s="151" t="s">
        <v>1572</v>
      </c>
      <c r="C101" s="152">
        <v>0</v>
      </c>
      <c r="D101" s="153">
        <f t="shared" si="3"/>
        <v>0</v>
      </c>
      <c r="E101" s="138" t="s">
        <v>678</v>
      </c>
      <c r="G101" s="140" t="s">
        <v>680</v>
      </c>
      <c r="H101" s="164">
        <f>C107+C110</f>
        <v>0</v>
      </c>
    </row>
    <row r="102" spans="1:8" x14ac:dyDescent="0.25">
      <c r="A102" s="160" t="s">
        <v>1561</v>
      </c>
      <c r="B102" s="155" t="s">
        <v>1573</v>
      </c>
      <c r="C102" s="156">
        <v>0</v>
      </c>
      <c r="D102" s="157">
        <f t="shared" si="3"/>
        <v>0</v>
      </c>
      <c r="E102" s="139" t="s">
        <v>679</v>
      </c>
    </row>
    <row r="103" spans="1:8" x14ac:dyDescent="0.25">
      <c r="A103" s="162" t="s">
        <v>1562</v>
      </c>
      <c r="B103" s="151" t="s">
        <v>1574</v>
      </c>
      <c r="C103" s="152">
        <v>0</v>
      </c>
      <c r="D103" s="153">
        <f t="shared" si="3"/>
        <v>0</v>
      </c>
      <c r="E103" s="138" t="s">
        <v>678</v>
      </c>
      <c r="H103" s="169">
        <f>C96-H98-H99-H100-H101</f>
        <v>0</v>
      </c>
    </row>
    <row r="104" spans="1:8" x14ac:dyDescent="0.25">
      <c r="A104" s="160" t="s">
        <v>1563</v>
      </c>
      <c r="B104" s="155" t="s">
        <v>1575</v>
      </c>
      <c r="C104" s="156">
        <v>0</v>
      </c>
      <c r="D104" s="157">
        <f t="shared" si="3"/>
        <v>0</v>
      </c>
      <c r="E104" s="139" t="s">
        <v>679</v>
      </c>
    </row>
    <row r="105" spans="1:8" x14ac:dyDescent="0.25">
      <c r="A105" s="162" t="s">
        <v>1564</v>
      </c>
      <c r="B105" s="151" t="s">
        <v>1450</v>
      </c>
      <c r="C105" s="152">
        <v>0</v>
      </c>
      <c r="D105" s="153">
        <f t="shared" si="3"/>
        <v>0</v>
      </c>
      <c r="E105" s="138" t="s">
        <v>678</v>
      </c>
    </row>
    <row r="106" spans="1:8" x14ac:dyDescent="0.25">
      <c r="A106" s="162" t="s">
        <v>1565</v>
      </c>
      <c r="B106" s="151" t="s">
        <v>1451</v>
      </c>
      <c r="C106" s="152">
        <v>0</v>
      </c>
      <c r="D106" s="153">
        <f t="shared" si="3"/>
        <v>0</v>
      </c>
      <c r="E106" s="138" t="s">
        <v>678</v>
      </c>
    </row>
    <row r="107" spans="1:8" x14ac:dyDescent="0.25">
      <c r="A107" s="194" t="s">
        <v>1566</v>
      </c>
      <c r="B107" s="191" t="s">
        <v>1576</v>
      </c>
      <c r="C107" s="188">
        <v>0</v>
      </c>
      <c r="D107" s="189">
        <f t="shared" si="3"/>
        <v>0</v>
      </c>
      <c r="E107" s="140" t="s">
        <v>680</v>
      </c>
    </row>
    <row r="108" spans="1:8" x14ac:dyDescent="0.25">
      <c r="A108" s="162" t="s">
        <v>1567</v>
      </c>
      <c r="B108" s="151" t="s">
        <v>1577</v>
      </c>
      <c r="C108" s="152">
        <v>0</v>
      </c>
      <c r="D108" s="153">
        <f t="shared" si="3"/>
        <v>0</v>
      </c>
      <c r="E108" s="138" t="s">
        <v>678</v>
      </c>
    </row>
    <row r="109" spans="1:8" x14ac:dyDescent="0.25">
      <c r="A109" s="160" t="s">
        <v>1568</v>
      </c>
      <c r="B109" s="155" t="s">
        <v>1578</v>
      </c>
      <c r="C109" s="156">
        <v>0</v>
      </c>
      <c r="D109" s="157">
        <f t="shared" si="3"/>
        <v>0</v>
      </c>
      <c r="E109" s="139" t="s">
        <v>679</v>
      </c>
    </row>
    <row r="110" spans="1:8" x14ac:dyDescent="0.25">
      <c r="A110" s="194" t="s">
        <v>1569</v>
      </c>
      <c r="B110" s="191" t="s">
        <v>431</v>
      </c>
      <c r="C110" s="188">
        <v>0</v>
      </c>
      <c r="D110" s="189">
        <f t="shared" si="3"/>
        <v>0</v>
      </c>
      <c r="E110" s="140" t="s">
        <v>680</v>
      </c>
    </row>
    <row r="111" spans="1:8" x14ac:dyDescent="0.25">
      <c r="A111" s="94" t="s">
        <v>110</v>
      </c>
      <c r="B111" s="99" t="s">
        <v>270</v>
      </c>
      <c r="C111" s="68">
        <f>SUM(C113:C123)</f>
        <v>0</v>
      </c>
      <c r="D111" s="68">
        <f>SUM(D113:D123)</f>
        <v>0</v>
      </c>
    </row>
    <row r="112" spans="1:8" x14ac:dyDescent="0.25">
      <c r="A112" s="88" t="s">
        <v>727</v>
      </c>
      <c r="B112" s="111" t="str">
        <f>DG!D110</f>
        <v>Statia 110/20 kV Iacobeni, jud. SV</v>
      </c>
      <c r="C112" s="89"/>
      <c r="D112" s="90"/>
    </row>
    <row r="113" spans="1:8" x14ac:dyDescent="0.25">
      <c r="A113" s="158" t="s">
        <v>1579</v>
      </c>
      <c r="B113" s="147" t="s">
        <v>1590</v>
      </c>
      <c r="C113" s="148">
        <v>0</v>
      </c>
      <c r="D113" s="159">
        <v>0</v>
      </c>
      <c r="E113" s="137" t="s">
        <v>677</v>
      </c>
      <c r="G113" s="137" t="s">
        <v>677</v>
      </c>
      <c r="H113" s="164">
        <f>C113</f>
        <v>0</v>
      </c>
    </row>
    <row r="114" spans="1:8" ht="12" customHeight="1" x14ac:dyDescent="0.25">
      <c r="A114" s="162" t="s">
        <v>1580</v>
      </c>
      <c r="B114" s="151" t="s">
        <v>1591</v>
      </c>
      <c r="C114" s="152">
        <v>0</v>
      </c>
      <c r="D114" s="163">
        <v>0</v>
      </c>
      <c r="E114" s="138" t="s">
        <v>678</v>
      </c>
      <c r="G114" s="138" t="s">
        <v>678</v>
      </c>
      <c r="H114" s="133">
        <f>C114+C120</f>
        <v>0</v>
      </c>
    </row>
    <row r="115" spans="1:8" ht="12" customHeight="1" x14ac:dyDescent="0.25">
      <c r="A115" s="160" t="s">
        <v>1581</v>
      </c>
      <c r="B115" s="155" t="s">
        <v>1592</v>
      </c>
      <c r="C115" s="156">
        <v>0</v>
      </c>
      <c r="D115" s="161">
        <v>0</v>
      </c>
      <c r="E115" s="139" t="s">
        <v>679</v>
      </c>
      <c r="G115" s="139" t="s">
        <v>679</v>
      </c>
      <c r="H115" s="133">
        <f>C115+C117+C121</f>
        <v>0</v>
      </c>
    </row>
    <row r="116" spans="1:8" x14ac:dyDescent="0.25">
      <c r="A116" s="194" t="s">
        <v>1582</v>
      </c>
      <c r="B116" s="191" t="s">
        <v>1593</v>
      </c>
      <c r="C116" s="188">
        <v>0</v>
      </c>
      <c r="D116" s="197">
        <v>0</v>
      </c>
      <c r="E116" s="140" t="s">
        <v>680</v>
      </c>
      <c r="G116" s="140" t="s">
        <v>680</v>
      </c>
      <c r="H116" s="133">
        <f>C116+C118+C119+C122+C123</f>
        <v>0</v>
      </c>
    </row>
    <row r="117" spans="1:8" x14ac:dyDescent="0.25">
      <c r="A117" s="160" t="s">
        <v>1583</v>
      </c>
      <c r="B117" s="155" t="s">
        <v>1594</v>
      </c>
      <c r="C117" s="156">
        <v>0</v>
      </c>
      <c r="D117" s="161">
        <v>0</v>
      </c>
      <c r="E117" s="139" t="s">
        <v>679</v>
      </c>
    </row>
    <row r="118" spans="1:8" ht="12" customHeight="1" x14ac:dyDescent="0.25">
      <c r="A118" s="194" t="s">
        <v>1584</v>
      </c>
      <c r="B118" s="191" t="s">
        <v>1595</v>
      </c>
      <c r="C118" s="188">
        <v>0</v>
      </c>
      <c r="D118" s="197">
        <v>0</v>
      </c>
      <c r="E118" s="140" t="s">
        <v>680</v>
      </c>
      <c r="H118" s="169">
        <f>C111-H113-H114-H115-H116</f>
        <v>0</v>
      </c>
    </row>
    <row r="119" spans="1:8" ht="12" customHeight="1" x14ac:dyDescent="0.25">
      <c r="A119" s="194" t="s">
        <v>1585</v>
      </c>
      <c r="B119" s="191" t="s">
        <v>1596</v>
      </c>
      <c r="C119" s="188">
        <v>0</v>
      </c>
      <c r="D119" s="197">
        <v>0</v>
      </c>
      <c r="E119" s="140" t="s">
        <v>680</v>
      </c>
    </row>
    <row r="120" spans="1:8" ht="12" customHeight="1" x14ac:dyDescent="0.25">
      <c r="A120" s="162" t="s">
        <v>1586</v>
      </c>
      <c r="B120" s="151" t="s">
        <v>1597</v>
      </c>
      <c r="C120" s="152">
        <v>0</v>
      </c>
      <c r="D120" s="163">
        <v>0</v>
      </c>
      <c r="E120" s="138" t="s">
        <v>678</v>
      </c>
    </row>
    <row r="121" spans="1:8" ht="12" customHeight="1" x14ac:dyDescent="0.25">
      <c r="A121" s="160" t="s">
        <v>1587</v>
      </c>
      <c r="B121" s="155" t="s">
        <v>1462</v>
      </c>
      <c r="C121" s="156">
        <v>0</v>
      </c>
      <c r="D121" s="161">
        <v>0</v>
      </c>
      <c r="E121" s="139" t="s">
        <v>679</v>
      </c>
    </row>
    <row r="122" spans="1:8" ht="12" customHeight="1" x14ac:dyDescent="0.25">
      <c r="A122" s="194" t="s">
        <v>1588</v>
      </c>
      <c r="B122" s="191" t="s">
        <v>1598</v>
      </c>
      <c r="C122" s="188">
        <v>0</v>
      </c>
      <c r="D122" s="197">
        <v>0</v>
      </c>
      <c r="E122" s="140" t="s">
        <v>680</v>
      </c>
    </row>
    <row r="123" spans="1:8" ht="12" customHeight="1" x14ac:dyDescent="0.25">
      <c r="A123" s="194" t="s">
        <v>1589</v>
      </c>
      <c r="B123" s="191" t="s">
        <v>1464</v>
      </c>
      <c r="C123" s="188">
        <v>0</v>
      </c>
      <c r="D123" s="197">
        <v>0</v>
      </c>
      <c r="E123" s="140" t="s">
        <v>680</v>
      </c>
    </row>
    <row r="124" spans="1:8" ht="12" customHeight="1" x14ac:dyDescent="0.25">
      <c r="A124" s="74" t="s">
        <v>119</v>
      </c>
      <c r="B124" s="83" t="s">
        <v>282</v>
      </c>
      <c r="C124" s="73">
        <v>0</v>
      </c>
      <c r="D124" s="73">
        <v>0</v>
      </c>
    </row>
    <row r="125" spans="1:8" x14ac:dyDescent="0.25">
      <c r="A125" s="74" t="s">
        <v>121</v>
      </c>
      <c r="B125" s="72" t="s">
        <v>283</v>
      </c>
      <c r="C125" s="73">
        <v>0</v>
      </c>
      <c r="D125" s="73">
        <v>0</v>
      </c>
    </row>
    <row r="126" spans="1:8" x14ac:dyDescent="0.25">
      <c r="A126" s="74" t="s">
        <v>123</v>
      </c>
      <c r="B126" s="72" t="s">
        <v>284</v>
      </c>
      <c r="C126" s="73">
        <v>0</v>
      </c>
      <c r="D126" s="73">
        <v>0</v>
      </c>
    </row>
    <row r="127" spans="1:8" x14ac:dyDescent="0.25">
      <c r="A127" s="74" t="s">
        <v>127</v>
      </c>
      <c r="B127" s="72" t="s">
        <v>285</v>
      </c>
      <c r="C127" s="73">
        <v>0</v>
      </c>
      <c r="D127" s="73">
        <v>0</v>
      </c>
    </row>
    <row r="128" spans="1:8" x14ac:dyDescent="0.25">
      <c r="A128" s="74" t="s">
        <v>286</v>
      </c>
      <c r="B128" s="77" t="s">
        <v>287</v>
      </c>
      <c r="C128" s="73">
        <v>0</v>
      </c>
      <c r="D128" s="73">
        <v>0</v>
      </c>
    </row>
    <row r="129" spans="1:4" x14ac:dyDescent="0.25">
      <c r="A129" s="74" t="s">
        <v>288</v>
      </c>
      <c r="B129" s="72" t="s">
        <v>289</v>
      </c>
      <c r="C129" s="73">
        <v>0</v>
      </c>
      <c r="D129" s="73">
        <v>0</v>
      </c>
    </row>
    <row r="130" spans="1:4" x14ac:dyDescent="0.25">
      <c r="A130" s="74" t="s">
        <v>150</v>
      </c>
      <c r="B130" s="72" t="s">
        <v>290</v>
      </c>
      <c r="C130" s="73">
        <v>0</v>
      </c>
      <c r="D130" s="73">
        <v>0</v>
      </c>
    </row>
    <row r="131" spans="1:4" x14ac:dyDescent="0.25">
      <c r="A131" s="274" t="s">
        <v>291</v>
      </c>
      <c r="B131" s="274"/>
      <c r="C131" s="73">
        <f>C13+C39+C40+C47</f>
        <v>0</v>
      </c>
      <c r="D131" s="73">
        <f>D13+D39+D40+D47</f>
        <v>0</v>
      </c>
    </row>
    <row r="132" spans="1:4" x14ac:dyDescent="0.25">
      <c r="A132" s="274" t="s">
        <v>292</v>
      </c>
      <c r="B132" s="274"/>
      <c r="C132" s="73">
        <f>C131*19%</f>
        <v>0</v>
      </c>
      <c r="D132" s="73">
        <f>D131*19%</f>
        <v>0</v>
      </c>
    </row>
    <row r="133" spans="1:4" x14ac:dyDescent="0.25">
      <c r="A133" s="274" t="s">
        <v>293</v>
      </c>
      <c r="B133" s="274"/>
      <c r="C133" s="73">
        <f>C131+C132</f>
        <v>0</v>
      </c>
      <c r="D133" s="73">
        <f>D131+D132</f>
        <v>0</v>
      </c>
    </row>
  </sheetData>
  <mergeCells count="12">
    <mergeCell ref="A10:A11"/>
    <mergeCell ref="B10:B11"/>
    <mergeCell ref="A131:B131"/>
    <mergeCell ref="A132:B132"/>
    <mergeCell ref="A133:B133"/>
    <mergeCell ref="A9:B9"/>
    <mergeCell ref="A1:B1"/>
    <mergeCell ref="A2:B2"/>
    <mergeCell ref="A3:D3"/>
    <mergeCell ref="A4:D4"/>
    <mergeCell ref="B6:D6"/>
    <mergeCell ref="C9:D9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7E7B3-F11D-49D7-A95B-2FF30B916BFF}">
  <dimension ref="A1:H120"/>
  <sheetViews>
    <sheetView topLeftCell="A100" zoomScale="150" zoomScaleNormal="150" zoomScaleSheetLayoutView="100" workbookViewId="0">
      <selection activeCell="C131" sqref="C131"/>
    </sheetView>
  </sheetViews>
  <sheetFormatPr defaultRowHeight="12" x14ac:dyDescent="0.25"/>
  <cols>
    <col min="1" max="1" width="6.09765625" style="81" customWidth="1"/>
    <col min="2" max="2" width="59.69921875" style="67" customWidth="1"/>
    <col min="3" max="3" width="11.09765625" style="67" customWidth="1"/>
    <col min="4" max="4" width="10.69921875" style="67" customWidth="1"/>
    <col min="5" max="5" width="11" style="67" customWidth="1"/>
    <col min="6" max="6" width="8.69921875" style="67"/>
    <col min="7" max="7" width="13.09765625" style="67" customWidth="1"/>
    <col min="8" max="8" width="10.699218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DG!D85</f>
        <v>Statia 110/6 kV Radiatoare, jud. SV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C14+C15+C29+C32</f>
        <v>0</v>
      </c>
      <c r="D13" s="102">
        <f>D14+D15+D29+D32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SUM(C17:C28)</f>
        <v>0</v>
      </c>
      <c r="D15" s="68">
        <f>SUM(D17:D28)</f>
        <v>0</v>
      </c>
    </row>
    <row r="16" spans="1:5" x14ac:dyDescent="0.25">
      <c r="A16" s="109" t="s">
        <v>733</v>
      </c>
      <c r="B16" s="70" t="str">
        <f>DG!D26</f>
        <v>Statia 110/6 kV Radiatoare, jud. SV</v>
      </c>
      <c r="C16" s="66"/>
      <c r="D16" s="66"/>
    </row>
    <row r="17" spans="1:8" x14ac:dyDescent="0.25">
      <c r="A17" s="174" t="s">
        <v>1359</v>
      </c>
      <c r="B17" s="147" t="s">
        <v>1035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C17+C18+C19+C20+C21+C22+C23+C25</f>
        <v>0</v>
      </c>
    </row>
    <row r="18" spans="1:8" x14ac:dyDescent="0.25">
      <c r="A18" s="174" t="s">
        <v>1360</v>
      </c>
      <c r="B18" s="147" t="s">
        <v>521</v>
      </c>
      <c r="C18" s="148">
        <v>0</v>
      </c>
      <c r="D18" s="149">
        <f t="shared" ref="D18:D23" si="0">C18</f>
        <v>0</v>
      </c>
      <c r="E18" s="137" t="s">
        <v>677</v>
      </c>
      <c r="G18" s="138" t="s">
        <v>678</v>
      </c>
      <c r="H18" s="164">
        <f>C26</f>
        <v>0</v>
      </c>
    </row>
    <row r="19" spans="1:8" x14ac:dyDescent="0.25">
      <c r="A19" s="174" t="s">
        <v>1361</v>
      </c>
      <c r="B19" s="147" t="s">
        <v>522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C24+C27+C28</f>
        <v>0</v>
      </c>
    </row>
    <row r="20" spans="1:8" x14ac:dyDescent="0.25">
      <c r="A20" s="174" t="s">
        <v>1362</v>
      </c>
      <c r="B20" s="147" t="s">
        <v>523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33">
        <f>0</f>
        <v>0</v>
      </c>
    </row>
    <row r="21" spans="1:8" x14ac:dyDescent="0.25">
      <c r="A21" s="174" t="s">
        <v>1363</v>
      </c>
      <c r="B21" s="147" t="s">
        <v>524</v>
      </c>
      <c r="C21" s="148">
        <v>0</v>
      </c>
      <c r="D21" s="149">
        <f t="shared" si="0"/>
        <v>0</v>
      </c>
      <c r="E21" s="137" t="s">
        <v>677</v>
      </c>
    </row>
    <row r="22" spans="1:8" x14ac:dyDescent="0.25">
      <c r="A22" s="174" t="s">
        <v>1364</v>
      </c>
      <c r="B22" s="147" t="s">
        <v>525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x14ac:dyDescent="0.25">
      <c r="A23" s="174" t="s">
        <v>1365</v>
      </c>
      <c r="B23" s="147" t="s">
        <v>526</v>
      </c>
      <c r="C23" s="148">
        <v>0</v>
      </c>
      <c r="D23" s="149">
        <f t="shared" si="0"/>
        <v>0</v>
      </c>
      <c r="E23" s="137" t="s">
        <v>677</v>
      </c>
    </row>
    <row r="24" spans="1:8" x14ac:dyDescent="0.25">
      <c r="A24" s="175" t="s">
        <v>1366</v>
      </c>
      <c r="B24" s="155" t="s">
        <v>1367</v>
      </c>
      <c r="C24" s="156">
        <v>0</v>
      </c>
      <c r="D24" s="157">
        <f t="shared" ref="D24:D29" si="1">C24</f>
        <v>0</v>
      </c>
      <c r="E24" s="139" t="s">
        <v>679</v>
      </c>
    </row>
    <row r="25" spans="1:8" x14ac:dyDescent="0.25">
      <c r="A25" s="146" t="s">
        <v>1837</v>
      </c>
      <c r="B25" s="147" t="s">
        <v>205</v>
      </c>
      <c r="C25" s="148">
        <v>0</v>
      </c>
      <c r="D25" s="149">
        <f t="shared" si="1"/>
        <v>0</v>
      </c>
      <c r="E25" s="137" t="s">
        <v>677</v>
      </c>
    </row>
    <row r="26" spans="1:8" x14ac:dyDescent="0.25">
      <c r="A26" s="150" t="s">
        <v>1838</v>
      </c>
      <c r="B26" s="151" t="s">
        <v>206</v>
      </c>
      <c r="C26" s="152">
        <v>0</v>
      </c>
      <c r="D26" s="153">
        <f t="shared" si="1"/>
        <v>0</v>
      </c>
      <c r="E26" s="138" t="s">
        <v>678</v>
      </c>
    </row>
    <row r="27" spans="1:8" x14ac:dyDescent="0.25">
      <c r="A27" s="154" t="s">
        <v>1839</v>
      </c>
      <c r="B27" s="155" t="s">
        <v>1369</v>
      </c>
      <c r="C27" s="156">
        <v>0</v>
      </c>
      <c r="D27" s="157">
        <f t="shared" si="1"/>
        <v>0</v>
      </c>
      <c r="E27" s="139" t="s">
        <v>679</v>
      </c>
    </row>
    <row r="28" spans="1:8" x14ac:dyDescent="0.25">
      <c r="A28" s="154" t="s">
        <v>1840</v>
      </c>
      <c r="B28" s="155" t="s">
        <v>1143</v>
      </c>
      <c r="C28" s="156">
        <v>0</v>
      </c>
      <c r="D28" s="157">
        <f t="shared" si="1"/>
        <v>0</v>
      </c>
      <c r="E28" s="139" t="s">
        <v>679</v>
      </c>
    </row>
    <row r="29" spans="1:8" x14ac:dyDescent="0.25">
      <c r="A29" s="94" t="s">
        <v>39</v>
      </c>
      <c r="B29" s="95" t="s">
        <v>185</v>
      </c>
      <c r="C29" s="96">
        <f>C31</f>
        <v>0</v>
      </c>
      <c r="D29" s="97">
        <f t="shared" si="1"/>
        <v>0</v>
      </c>
    </row>
    <row r="30" spans="1:8" ht="11.1" customHeight="1" x14ac:dyDescent="0.25">
      <c r="A30" s="69" t="s">
        <v>738</v>
      </c>
      <c r="B30" s="75" t="str">
        <f>DG!D39</f>
        <v>Statia 110/6 kV Radiatoare, jud. SV</v>
      </c>
      <c r="C30" s="89"/>
      <c r="D30" s="66"/>
    </row>
    <row r="31" spans="1:8" s="76" customFormat="1" ht="11.1" customHeight="1" x14ac:dyDescent="0.25">
      <c r="A31" s="69" t="s">
        <v>1368</v>
      </c>
      <c r="B31" s="82" t="s">
        <v>186</v>
      </c>
      <c r="C31" s="118">
        <v>0</v>
      </c>
      <c r="D31" s="66">
        <f>C31</f>
        <v>0</v>
      </c>
    </row>
    <row r="32" spans="1:8" ht="11.1" customHeight="1" x14ac:dyDescent="0.25">
      <c r="A32" s="94" t="s">
        <v>187</v>
      </c>
      <c r="B32" s="98" t="s">
        <v>48</v>
      </c>
      <c r="C32" s="96">
        <v>0</v>
      </c>
      <c r="D32" s="71">
        <v>0</v>
      </c>
    </row>
    <row r="33" spans="1:8" x14ac:dyDescent="0.25">
      <c r="A33" s="103" t="s">
        <v>188</v>
      </c>
      <c r="B33" s="104" t="s">
        <v>189</v>
      </c>
      <c r="C33" s="105">
        <v>0</v>
      </c>
      <c r="D33" s="102">
        <v>0</v>
      </c>
    </row>
    <row r="34" spans="1:8" x14ac:dyDescent="0.25">
      <c r="A34" s="103" t="s">
        <v>190</v>
      </c>
      <c r="B34" s="104" t="s">
        <v>69</v>
      </c>
      <c r="C34" s="106">
        <f>SUM(C35:C40)</f>
        <v>0</v>
      </c>
      <c r="D34" s="106">
        <f>SUM(D35:D40)</f>
        <v>0</v>
      </c>
    </row>
    <row r="35" spans="1:8" ht="12" customHeight="1" x14ac:dyDescent="0.25">
      <c r="A35" s="74" t="s">
        <v>191</v>
      </c>
      <c r="B35" s="72" t="s">
        <v>192</v>
      </c>
      <c r="C35" s="73">
        <v>0</v>
      </c>
      <c r="D35" s="73">
        <v>0</v>
      </c>
    </row>
    <row r="36" spans="1:8" x14ac:dyDescent="0.25">
      <c r="A36" s="74" t="s">
        <v>193</v>
      </c>
      <c r="B36" s="72" t="s">
        <v>194</v>
      </c>
      <c r="C36" s="73">
        <v>0</v>
      </c>
      <c r="D36" s="73">
        <v>0</v>
      </c>
    </row>
    <row r="37" spans="1:8" x14ac:dyDescent="0.25">
      <c r="A37" s="74" t="s">
        <v>195</v>
      </c>
      <c r="B37" s="83" t="s">
        <v>196</v>
      </c>
      <c r="C37" s="73">
        <v>0</v>
      </c>
      <c r="D37" s="73">
        <v>0</v>
      </c>
    </row>
    <row r="38" spans="1:8" ht="12" customHeight="1" x14ac:dyDescent="0.25">
      <c r="A38" s="74" t="s">
        <v>197</v>
      </c>
      <c r="B38" s="83" t="s">
        <v>198</v>
      </c>
      <c r="C38" s="73">
        <v>0</v>
      </c>
      <c r="D38" s="73">
        <v>0</v>
      </c>
    </row>
    <row r="39" spans="1:8" ht="12" customHeight="1" x14ac:dyDescent="0.25">
      <c r="A39" s="74" t="s">
        <v>199</v>
      </c>
      <c r="B39" s="83" t="s">
        <v>200</v>
      </c>
      <c r="C39" s="73">
        <v>0</v>
      </c>
      <c r="D39" s="73">
        <v>0</v>
      </c>
    </row>
    <row r="40" spans="1:8" x14ac:dyDescent="0.25">
      <c r="A40" s="74" t="s">
        <v>201</v>
      </c>
      <c r="B40" s="72" t="s">
        <v>202</v>
      </c>
      <c r="C40" s="73">
        <v>0</v>
      </c>
      <c r="D40" s="73">
        <v>0</v>
      </c>
    </row>
    <row r="41" spans="1:8" ht="10.199999999999999" customHeight="1" x14ac:dyDescent="0.25">
      <c r="A41" s="103" t="s">
        <v>203</v>
      </c>
      <c r="B41" s="104" t="s">
        <v>204</v>
      </c>
      <c r="C41" s="105">
        <f>C42+C86+C99</f>
        <v>0</v>
      </c>
      <c r="D41" s="105">
        <f>D42+D86+D99</f>
        <v>0</v>
      </c>
    </row>
    <row r="42" spans="1:8" x14ac:dyDescent="0.25">
      <c r="A42" s="94" t="s">
        <v>92</v>
      </c>
      <c r="B42" s="99" t="s">
        <v>157</v>
      </c>
      <c r="C42" s="68">
        <f>SUM(C44:C85)</f>
        <v>0</v>
      </c>
      <c r="D42" s="68">
        <f>SUM(D44:D85)</f>
        <v>0</v>
      </c>
    </row>
    <row r="43" spans="1:8" x14ac:dyDescent="0.25">
      <c r="A43" s="87" t="s">
        <v>705</v>
      </c>
      <c r="B43" s="79" t="str">
        <f>DG!D85</f>
        <v>Statia 110/6 kV Radiatoare, jud. SV</v>
      </c>
      <c r="C43" s="80"/>
      <c r="D43" s="90"/>
    </row>
    <row r="44" spans="1:8" x14ac:dyDescent="0.25">
      <c r="A44" s="146" t="s">
        <v>1370</v>
      </c>
      <c r="B44" s="147" t="s">
        <v>529</v>
      </c>
      <c r="C44" s="148">
        <v>0</v>
      </c>
      <c r="D44" s="149">
        <f t="shared" ref="D44:D85" si="2">C44</f>
        <v>0</v>
      </c>
      <c r="E44" s="137" t="s">
        <v>677</v>
      </c>
      <c r="G44" s="137" t="s">
        <v>677</v>
      </c>
      <c r="H44" s="133">
        <f>C44+C45+C46+C47+C48+C49+C53+C55+C59+C60+C61+C67</f>
        <v>0</v>
      </c>
    </row>
    <row r="45" spans="1:8" x14ac:dyDescent="0.25">
      <c r="A45" s="146" t="s">
        <v>1371</v>
      </c>
      <c r="B45" s="147" t="s">
        <v>1412</v>
      </c>
      <c r="C45" s="148">
        <v>0</v>
      </c>
      <c r="D45" s="149">
        <f t="shared" si="2"/>
        <v>0</v>
      </c>
      <c r="E45" s="137" t="s">
        <v>677</v>
      </c>
      <c r="G45" s="138" t="s">
        <v>678</v>
      </c>
      <c r="H45" s="133">
        <f>C68+C70+C72+C73+C77</f>
        <v>0</v>
      </c>
    </row>
    <row r="46" spans="1:8" x14ac:dyDescent="0.25">
      <c r="A46" s="146" t="s">
        <v>1372</v>
      </c>
      <c r="B46" s="147" t="s">
        <v>530</v>
      </c>
      <c r="C46" s="148">
        <v>0</v>
      </c>
      <c r="D46" s="149">
        <f t="shared" si="2"/>
        <v>0</v>
      </c>
      <c r="E46" s="137" t="s">
        <v>677</v>
      </c>
      <c r="G46" s="139" t="s">
        <v>679</v>
      </c>
      <c r="H46" s="133">
        <f>C50+C51+C64+C69+C71+C76+C78+C79+C80</f>
        <v>0</v>
      </c>
    </row>
    <row r="47" spans="1:8" x14ac:dyDescent="0.25">
      <c r="A47" s="146" t="s">
        <v>1373</v>
      </c>
      <c r="B47" s="147" t="s">
        <v>208</v>
      </c>
      <c r="C47" s="148">
        <v>0</v>
      </c>
      <c r="D47" s="149">
        <f t="shared" si="2"/>
        <v>0</v>
      </c>
      <c r="E47" s="137" t="s">
        <v>677</v>
      </c>
      <c r="G47" s="140" t="s">
        <v>680</v>
      </c>
      <c r="H47" s="133">
        <f>C52+C54+C56+C57+C58+C62+C63+C65+C66+C74+C75+C81+C82+C83</f>
        <v>0</v>
      </c>
    </row>
    <row r="48" spans="1:8" x14ac:dyDescent="0.25">
      <c r="A48" s="146" t="s">
        <v>1374</v>
      </c>
      <c r="B48" s="147" t="s">
        <v>209</v>
      </c>
      <c r="C48" s="148">
        <v>0</v>
      </c>
      <c r="D48" s="149">
        <f t="shared" si="2"/>
        <v>0</v>
      </c>
      <c r="E48" s="137" t="s">
        <v>677</v>
      </c>
      <c r="G48" s="141" t="s">
        <v>681</v>
      </c>
      <c r="H48" s="133">
        <f>C84+C85</f>
        <v>0</v>
      </c>
    </row>
    <row r="49" spans="1:8" x14ac:dyDescent="0.25">
      <c r="A49" s="146" t="s">
        <v>1375</v>
      </c>
      <c r="B49" s="147" t="s">
        <v>1413</v>
      </c>
      <c r="C49" s="148">
        <v>0</v>
      </c>
      <c r="D49" s="149">
        <f t="shared" si="2"/>
        <v>0</v>
      </c>
      <c r="E49" s="137" t="s">
        <v>677</v>
      </c>
    </row>
    <row r="50" spans="1:8" x14ac:dyDescent="0.25">
      <c r="A50" s="154" t="s">
        <v>1376</v>
      </c>
      <c r="B50" s="155" t="s">
        <v>1414</v>
      </c>
      <c r="C50" s="156">
        <v>0</v>
      </c>
      <c r="D50" s="157">
        <f t="shared" si="2"/>
        <v>0</v>
      </c>
      <c r="E50" s="139" t="s">
        <v>679</v>
      </c>
      <c r="H50" s="169">
        <f>C42-H44-H45-H46-H47-H48</f>
        <v>0</v>
      </c>
    </row>
    <row r="51" spans="1:8" x14ac:dyDescent="0.25">
      <c r="A51" s="154" t="s">
        <v>1377</v>
      </c>
      <c r="B51" s="155" t="s">
        <v>1415</v>
      </c>
      <c r="C51" s="156">
        <v>0</v>
      </c>
      <c r="D51" s="157">
        <f t="shared" si="2"/>
        <v>0</v>
      </c>
      <c r="E51" s="139" t="s">
        <v>679</v>
      </c>
    </row>
    <row r="52" spans="1:8" x14ac:dyDescent="0.25">
      <c r="A52" s="190" t="s">
        <v>1378</v>
      </c>
      <c r="B52" s="191" t="s">
        <v>230</v>
      </c>
      <c r="C52" s="188">
        <v>0</v>
      </c>
      <c r="D52" s="189">
        <f t="shared" si="2"/>
        <v>0</v>
      </c>
      <c r="E52" s="140" t="s">
        <v>680</v>
      </c>
    </row>
    <row r="53" spans="1:8" x14ac:dyDescent="0.25">
      <c r="A53" s="146" t="s">
        <v>1379</v>
      </c>
      <c r="B53" s="147" t="s">
        <v>213</v>
      </c>
      <c r="C53" s="148">
        <v>0</v>
      </c>
      <c r="D53" s="149">
        <f t="shared" si="2"/>
        <v>0</v>
      </c>
      <c r="E53" s="137" t="s">
        <v>677</v>
      </c>
    </row>
    <row r="54" spans="1:8" x14ac:dyDescent="0.25">
      <c r="A54" s="190" t="s">
        <v>1380</v>
      </c>
      <c r="B54" s="191" t="s">
        <v>1416</v>
      </c>
      <c r="C54" s="188">
        <v>0</v>
      </c>
      <c r="D54" s="189">
        <f t="shared" si="2"/>
        <v>0</v>
      </c>
      <c r="E54" s="140" t="s">
        <v>680</v>
      </c>
    </row>
    <row r="55" spans="1:8" x14ac:dyDescent="0.25">
      <c r="A55" s="146" t="s">
        <v>1381</v>
      </c>
      <c r="B55" s="147" t="s">
        <v>1417</v>
      </c>
      <c r="C55" s="148">
        <v>0</v>
      </c>
      <c r="D55" s="149">
        <f t="shared" si="2"/>
        <v>0</v>
      </c>
      <c r="E55" s="137" t="s">
        <v>677</v>
      </c>
    </row>
    <row r="56" spans="1:8" x14ac:dyDescent="0.25">
      <c r="A56" s="190" t="s">
        <v>1382</v>
      </c>
      <c r="B56" s="191" t="s">
        <v>218</v>
      </c>
      <c r="C56" s="188">
        <v>0</v>
      </c>
      <c r="D56" s="189">
        <f t="shared" si="2"/>
        <v>0</v>
      </c>
      <c r="E56" s="140" t="s">
        <v>680</v>
      </c>
    </row>
    <row r="57" spans="1:8" x14ac:dyDescent="0.25">
      <c r="A57" s="190" t="s">
        <v>1383</v>
      </c>
      <c r="B57" s="191" t="s">
        <v>674</v>
      </c>
      <c r="C57" s="188">
        <v>0</v>
      </c>
      <c r="D57" s="189">
        <f t="shared" si="2"/>
        <v>0</v>
      </c>
      <c r="E57" s="140" t="s">
        <v>680</v>
      </c>
    </row>
    <row r="58" spans="1:8" x14ac:dyDescent="0.25">
      <c r="A58" s="190" t="s">
        <v>1384</v>
      </c>
      <c r="B58" s="191" t="s">
        <v>220</v>
      </c>
      <c r="C58" s="188">
        <v>0</v>
      </c>
      <c r="D58" s="189">
        <f t="shared" si="2"/>
        <v>0</v>
      </c>
      <c r="E58" s="140" t="s">
        <v>680</v>
      </c>
    </row>
    <row r="59" spans="1:8" x14ac:dyDescent="0.25">
      <c r="A59" s="146" t="s">
        <v>1385</v>
      </c>
      <c r="B59" s="147" t="s">
        <v>1418</v>
      </c>
      <c r="C59" s="148">
        <v>0</v>
      </c>
      <c r="D59" s="149">
        <f t="shared" si="2"/>
        <v>0</v>
      </c>
      <c r="E59" s="137" t="s">
        <v>677</v>
      </c>
    </row>
    <row r="60" spans="1:8" x14ac:dyDescent="0.25">
      <c r="A60" s="146" t="s">
        <v>1386</v>
      </c>
      <c r="B60" s="147" t="s">
        <v>1419</v>
      </c>
      <c r="C60" s="148">
        <v>0</v>
      </c>
      <c r="D60" s="149">
        <f t="shared" si="2"/>
        <v>0</v>
      </c>
      <c r="E60" s="137" t="s">
        <v>677</v>
      </c>
    </row>
    <row r="61" spans="1:8" x14ac:dyDescent="0.25">
      <c r="A61" s="146" t="s">
        <v>1387</v>
      </c>
      <c r="B61" s="147" t="s">
        <v>1420</v>
      </c>
      <c r="C61" s="148">
        <v>0</v>
      </c>
      <c r="D61" s="149">
        <f t="shared" si="2"/>
        <v>0</v>
      </c>
      <c r="E61" s="137" t="s">
        <v>677</v>
      </c>
    </row>
    <row r="62" spans="1:8" x14ac:dyDescent="0.25">
      <c r="A62" s="190" t="s">
        <v>1388</v>
      </c>
      <c r="B62" s="191" t="s">
        <v>1421</v>
      </c>
      <c r="C62" s="188">
        <v>0</v>
      </c>
      <c r="D62" s="189">
        <f t="shared" si="2"/>
        <v>0</v>
      </c>
      <c r="E62" s="140" t="s">
        <v>680</v>
      </c>
    </row>
    <row r="63" spans="1:8" x14ac:dyDescent="0.25">
      <c r="A63" s="190" t="s">
        <v>1389</v>
      </c>
      <c r="B63" s="191" t="s">
        <v>228</v>
      </c>
      <c r="C63" s="188">
        <v>0</v>
      </c>
      <c r="D63" s="189">
        <f t="shared" si="2"/>
        <v>0</v>
      </c>
      <c r="E63" s="140" t="s">
        <v>680</v>
      </c>
    </row>
    <row r="64" spans="1:8" x14ac:dyDescent="0.25">
      <c r="A64" s="154" t="s">
        <v>1390</v>
      </c>
      <c r="B64" s="155" t="s">
        <v>1144</v>
      </c>
      <c r="C64" s="156">
        <v>0</v>
      </c>
      <c r="D64" s="157">
        <f t="shared" si="2"/>
        <v>0</v>
      </c>
      <c r="E64" s="139" t="s">
        <v>679</v>
      </c>
    </row>
    <row r="65" spans="1:5" x14ac:dyDescent="0.25">
      <c r="A65" s="190" t="s">
        <v>1391</v>
      </c>
      <c r="B65" s="191" t="s">
        <v>1422</v>
      </c>
      <c r="C65" s="188">
        <v>0</v>
      </c>
      <c r="D65" s="189">
        <f t="shared" si="2"/>
        <v>0</v>
      </c>
      <c r="E65" s="140" t="s">
        <v>680</v>
      </c>
    </row>
    <row r="66" spans="1:5" x14ac:dyDescent="0.25">
      <c r="A66" s="190" t="s">
        <v>1392</v>
      </c>
      <c r="B66" s="191" t="s">
        <v>1423</v>
      </c>
      <c r="C66" s="188">
        <v>0</v>
      </c>
      <c r="D66" s="189">
        <f t="shared" si="2"/>
        <v>0</v>
      </c>
      <c r="E66" s="140" t="s">
        <v>680</v>
      </c>
    </row>
    <row r="67" spans="1:5" x14ac:dyDescent="0.25">
      <c r="A67" s="146" t="s">
        <v>1393</v>
      </c>
      <c r="B67" s="147" t="s">
        <v>238</v>
      </c>
      <c r="C67" s="148">
        <v>0</v>
      </c>
      <c r="D67" s="149">
        <f t="shared" si="2"/>
        <v>0</v>
      </c>
      <c r="E67" s="137" t="s">
        <v>677</v>
      </c>
    </row>
    <row r="68" spans="1:5" x14ac:dyDescent="0.25">
      <c r="A68" s="150" t="s">
        <v>1394</v>
      </c>
      <c r="B68" s="151" t="s">
        <v>1424</v>
      </c>
      <c r="C68" s="152">
        <v>0</v>
      </c>
      <c r="D68" s="153">
        <f t="shared" si="2"/>
        <v>0</v>
      </c>
      <c r="E68" s="138" t="s">
        <v>678</v>
      </c>
    </row>
    <row r="69" spans="1:5" x14ac:dyDescent="0.25">
      <c r="A69" s="154" t="s">
        <v>1395</v>
      </c>
      <c r="B69" s="155" t="s">
        <v>1425</v>
      </c>
      <c r="C69" s="156">
        <v>0</v>
      </c>
      <c r="D69" s="157">
        <f t="shared" si="2"/>
        <v>0</v>
      </c>
      <c r="E69" s="139" t="s">
        <v>679</v>
      </c>
    </row>
    <row r="70" spans="1:5" x14ac:dyDescent="0.25">
      <c r="A70" s="150" t="s">
        <v>1396</v>
      </c>
      <c r="B70" s="151" t="s">
        <v>1426</v>
      </c>
      <c r="C70" s="152">
        <v>0</v>
      </c>
      <c r="D70" s="153">
        <f t="shared" si="2"/>
        <v>0</v>
      </c>
      <c r="E70" s="138" t="s">
        <v>678</v>
      </c>
    </row>
    <row r="71" spans="1:5" x14ac:dyDescent="0.25">
      <c r="A71" s="154" t="s">
        <v>1397</v>
      </c>
      <c r="B71" s="155" t="s">
        <v>1153</v>
      </c>
      <c r="C71" s="156">
        <v>0</v>
      </c>
      <c r="D71" s="157">
        <f t="shared" si="2"/>
        <v>0</v>
      </c>
      <c r="E71" s="139" t="s">
        <v>679</v>
      </c>
    </row>
    <row r="72" spans="1:5" x14ac:dyDescent="0.25">
      <c r="A72" s="150" t="s">
        <v>1398</v>
      </c>
      <c r="B72" s="151" t="s">
        <v>246</v>
      </c>
      <c r="C72" s="152">
        <v>0</v>
      </c>
      <c r="D72" s="153">
        <f t="shared" si="2"/>
        <v>0</v>
      </c>
      <c r="E72" s="138" t="s">
        <v>678</v>
      </c>
    </row>
    <row r="73" spans="1:5" x14ac:dyDescent="0.25">
      <c r="A73" s="150" t="s">
        <v>1399</v>
      </c>
      <c r="B73" s="151" t="s">
        <v>248</v>
      </c>
      <c r="C73" s="152">
        <v>0</v>
      </c>
      <c r="D73" s="153">
        <f t="shared" si="2"/>
        <v>0</v>
      </c>
      <c r="E73" s="138" t="s">
        <v>678</v>
      </c>
    </row>
    <row r="74" spans="1:5" x14ac:dyDescent="0.25">
      <c r="A74" s="190" t="s">
        <v>1400</v>
      </c>
      <c r="B74" s="191" t="s">
        <v>532</v>
      </c>
      <c r="C74" s="188">
        <v>0</v>
      </c>
      <c r="D74" s="189">
        <f t="shared" si="2"/>
        <v>0</v>
      </c>
      <c r="E74" s="140" t="s">
        <v>680</v>
      </c>
    </row>
    <row r="75" spans="1:5" x14ac:dyDescent="0.25">
      <c r="A75" s="190" t="s">
        <v>1401</v>
      </c>
      <c r="B75" s="191" t="s">
        <v>1427</v>
      </c>
      <c r="C75" s="188">
        <v>0</v>
      </c>
      <c r="D75" s="189">
        <f t="shared" si="2"/>
        <v>0</v>
      </c>
      <c r="E75" s="140" t="s">
        <v>680</v>
      </c>
    </row>
    <row r="76" spans="1:5" x14ac:dyDescent="0.25">
      <c r="A76" s="154" t="s">
        <v>1402</v>
      </c>
      <c r="B76" s="155" t="s">
        <v>1428</v>
      </c>
      <c r="C76" s="156">
        <v>0</v>
      </c>
      <c r="D76" s="157">
        <f t="shared" si="2"/>
        <v>0</v>
      </c>
      <c r="E76" s="139" t="s">
        <v>679</v>
      </c>
    </row>
    <row r="77" spans="1:5" x14ac:dyDescent="0.25">
      <c r="A77" s="150" t="s">
        <v>1403</v>
      </c>
      <c r="B77" s="151" t="s">
        <v>1429</v>
      </c>
      <c r="C77" s="152">
        <v>0</v>
      </c>
      <c r="D77" s="153">
        <f t="shared" si="2"/>
        <v>0</v>
      </c>
      <c r="E77" s="138" t="s">
        <v>678</v>
      </c>
    </row>
    <row r="78" spans="1:5" x14ac:dyDescent="0.25">
      <c r="A78" s="154" t="s">
        <v>1404</v>
      </c>
      <c r="B78" s="155" t="s">
        <v>1430</v>
      </c>
      <c r="C78" s="156">
        <v>0</v>
      </c>
      <c r="D78" s="157">
        <f t="shared" si="2"/>
        <v>0</v>
      </c>
      <c r="E78" s="139" t="s">
        <v>679</v>
      </c>
    </row>
    <row r="79" spans="1:5" x14ac:dyDescent="0.25">
      <c r="A79" s="154" t="s">
        <v>1405</v>
      </c>
      <c r="B79" s="155" t="s">
        <v>1431</v>
      </c>
      <c r="C79" s="156">
        <v>0</v>
      </c>
      <c r="D79" s="157">
        <f t="shared" si="2"/>
        <v>0</v>
      </c>
      <c r="E79" s="139" t="s">
        <v>679</v>
      </c>
    </row>
    <row r="80" spans="1:5" x14ac:dyDescent="0.25">
      <c r="A80" s="154" t="s">
        <v>1406</v>
      </c>
      <c r="B80" s="155" t="s">
        <v>1432</v>
      </c>
      <c r="C80" s="156">
        <v>0</v>
      </c>
      <c r="D80" s="157">
        <f t="shared" si="2"/>
        <v>0</v>
      </c>
      <c r="E80" s="139" t="s">
        <v>679</v>
      </c>
    </row>
    <row r="81" spans="1:8" x14ac:dyDescent="0.25">
      <c r="A81" s="190" t="s">
        <v>1407</v>
      </c>
      <c r="B81" s="191" t="s">
        <v>252</v>
      </c>
      <c r="C81" s="188">
        <v>0</v>
      </c>
      <c r="D81" s="189">
        <f t="shared" si="2"/>
        <v>0</v>
      </c>
      <c r="E81" s="140" t="s">
        <v>680</v>
      </c>
    </row>
    <row r="82" spans="1:8" x14ac:dyDescent="0.25">
      <c r="A82" s="190" t="s">
        <v>1408</v>
      </c>
      <c r="B82" s="191" t="s">
        <v>254</v>
      </c>
      <c r="C82" s="188">
        <v>0</v>
      </c>
      <c r="D82" s="189">
        <f t="shared" si="2"/>
        <v>0</v>
      </c>
      <c r="E82" s="140" t="s">
        <v>680</v>
      </c>
    </row>
    <row r="83" spans="1:8" ht="12" customHeight="1" x14ac:dyDescent="0.25">
      <c r="A83" s="190" t="s">
        <v>1409</v>
      </c>
      <c r="B83" s="191" t="s">
        <v>256</v>
      </c>
      <c r="C83" s="188">
        <v>0</v>
      </c>
      <c r="D83" s="189">
        <f t="shared" si="2"/>
        <v>0</v>
      </c>
      <c r="E83" s="140" t="s">
        <v>680</v>
      </c>
      <c r="F83" s="67" t="s">
        <v>163</v>
      </c>
    </row>
    <row r="84" spans="1:8" ht="12" customHeight="1" x14ac:dyDescent="0.25">
      <c r="A84" s="142" t="s">
        <v>1410</v>
      </c>
      <c r="B84" s="143" t="s">
        <v>1433</v>
      </c>
      <c r="C84" s="144">
        <v>0</v>
      </c>
      <c r="D84" s="145">
        <f t="shared" si="2"/>
        <v>0</v>
      </c>
      <c r="E84" s="141" t="s">
        <v>681</v>
      </c>
    </row>
    <row r="85" spans="1:8" x14ac:dyDescent="0.25">
      <c r="A85" s="142" t="s">
        <v>1411</v>
      </c>
      <c r="B85" s="143" t="s">
        <v>260</v>
      </c>
      <c r="C85" s="144">
        <v>0</v>
      </c>
      <c r="D85" s="145">
        <f t="shared" si="2"/>
        <v>0</v>
      </c>
      <c r="E85" s="141" t="s">
        <v>681</v>
      </c>
      <c r="F85" s="67" t="s">
        <v>158</v>
      </c>
    </row>
    <row r="86" spans="1:8" x14ac:dyDescent="0.25">
      <c r="A86" s="94" t="s">
        <v>101</v>
      </c>
      <c r="B86" s="99" t="s">
        <v>261</v>
      </c>
      <c r="C86" s="68">
        <f>SUM(C88:C98)</f>
        <v>0</v>
      </c>
      <c r="D86" s="68">
        <f>SUM(D88:D98)</f>
        <v>0</v>
      </c>
    </row>
    <row r="87" spans="1:8" x14ac:dyDescent="0.25">
      <c r="A87" s="87" t="s">
        <v>723</v>
      </c>
      <c r="B87" s="111" t="str">
        <f>DG!D98</f>
        <v>Statia 110/6 kV Radiatoare, jud. SV</v>
      </c>
      <c r="C87" s="89"/>
      <c r="D87" s="90"/>
    </row>
    <row r="88" spans="1:8" x14ac:dyDescent="0.25">
      <c r="A88" s="160" t="s">
        <v>1434</v>
      </c>
      <c r="B88" s="155" t="s">
        <v>1445</v>
      </c>
      <c r="C88" s="156">
        <v>0</v>
      </c>
      <c r="D88" s="157">
        <f t="shared" ref="D88:D98" si="3">C88</f>
        <v>0</v>
      </c>
      <c r="E88" s="139" t="s">
        <v>679</v>
      </c>
      <c r="G88" s="137" t="s">
        <v>677</v>
      </c>
      <c r="H88" s="164">
        <f>C89</f>
        <v>0</v>
      </c>
    </row>
    <row r="89" spans="1:8" x14ac:dyDescent="0.25">
      <c r="A89" s="158" t="s">
        <v>1435</v>
      </c>
      <c r="B89" s="147" t="s">
        <v>1446</v>
      </c>
      <c r="C89" s="148">
        <v>0</v>
      </c>
      <c r="D89" s="149">
        <f t="shared" si="3"/>
        <v>0</v>
      </c>
      <c r="E89" s="137" t="s">
        <v>677</v>
      </c>
      <c r="G89" s="138" t="s">
        <v>678</v>
      </c>
      <c r="H89" s="133">
        <f>C90+C93+C94</f>
        <v>0</v>
      </c>
    </row>
    <row r="90" spans="1:8" ht="12" customHeight="1" x14ac:dyDescent="0.25">
      <c r="A90" s="162" t="s">
        <v>1436</v>
      </c>
      <c r="B90" s="151" t="s">
        <v>1447</v>
      </c>
      <c r="C90" s="152">
        <v>0</v>
      </c>
      <c r="D90" s="153">
        <f t="shared" si="3"/>
        <v>0</v>
      </c>
      <c r="E90" s="138" t="s">
        <v>678</v>
      </c>
      <c r="G90" s="139" t="s">
        <v>679</v>
      </c>
      <c r="H90" s="133">
        <f>C88+C91+C92+C97</f>
        <v>0</v>
      </c>
    </row>
    <row r="91" spans="1:8" ht="12" customHeight="1" x14ac:dyDescent="0.25">
      <c r="A91" s="160" t="s">
        <v>1437</v>
      </c>
      <c r="B91" s="155" t="s">
        <v>1448</v>
      </c>
      <c r="C91" s="156">
        <v>0</v>
      </c>
      <c r="D91" s="157">
        <f t="shared" si="3"/>
        <v>0</v>
      </c>
      <c r="E91" s="139" t="s">
        <v>679</v>
      </c>
      <c r="G91" s="140" t="s">
        <v>680</v>
      </c>
      <c r="H91" s="164">
        <f>C95+C96+C98</f>
        <v>0</v>
      </c>
    </row>
    <row r="92" spans="1:8" x14ac:dyDescent="0.25">
      <c r="A92" s="160" t="s">
        <v>1438</v>
      </c>
      <c r="B92" s="155" t="s">
        <v>1449</v>
      </c>
      <c r="C92" s="156">
        <v>0</v>
      </c>
      <c r="D92" s="157">
        <f t="shared" si="3"/>
        <v>0</v>
      </c>
      <c r="E92" s="139" t="s">
        <v>679</v>
      </c>
    </row>
    <row r="93" spans="1:8" x14ac:dyDescent="0.25">
      <c r="A93" s="162" t="s">
        <v>1439</v>
      </c>
      <c r="B93" s="151" t="s">
        <v>1450</v>
      </c>
      <c r="C93" s="152">
        <v>0</v>
      </c>
      <c r="D93" s="153">
        <f t="shared" si="3"/>
        <v>0</v>
      </c>
      <c r="E93" s="138" t="s">
        <v>678</v>
      </c>
      <c r="H93" s="169">
        <f>C86-H88-H89-H90-H91</f>
        <v>0</v>
      </c>
    </row>
    <row r="94" spans="1:8" x14ac:dyDescent="0.25">
      <c r="A94" s="162" t="s">
        <v>1440</v>
      </c>
      <c r="B94" s="151" t="s">
        <v>1451</v>
      </c>
      <c r="C94" s="152">
        <v>0</v>
      </c>
      <c r="D94" s="153">
        <f t="shared" si="3"/>
        <v>0</v>
      </c>
      <c r="E94" s="138" t="s">
        <v>678</v>
      </c>
    </row>
    <row r="95" spans="1:8" ht="12" customHeight="1" x14ac:dyDescent="0.25">
      <c r="A95" s="194" t="s">
        <v>1441</v>
      </c>
      <c r="B95" s="191" t="s">
        <v>1452</v>
      </c>
      <c r="C95" s="188">
        <v>0</v>
      </c>
      <c r="D95" s="189">
        <f t="shared" si="3"/>
        <v>0</v>
      </c>
      <c r="E95" s="140" t="s">
        <v>680</v>
      </c>
    </row>
    <row r="96" spans="1:8" x14ac:dyDescent="0.25">
      <c r="A96" s="194" t="s">
        <v>1442</v>
      </c>
      <c r="B96" s="191" t="s">
        <v>1453</v>
      </c>
      <c r="C96" s="188">
        <v>0</v>
      </c>
      <c r="D96" s="189">
        <f t="shared" si="3"/>
        <v>0</v>
      </c>
      <c r="E96" s="140" t="s">
        <v>680</v>
      </c>
    </row>
    <row r="97" spans="1:8" x14ac:dyDescent="0.25">
      <c r="A97" s="160" t="s">
        <v>1443</v>
      </c>
      <c r="B97" s="155" t="s">
        <v>1454</v>
      </c>
      <c r="C97" s="156">
        <v>0</v>
      </c>
      <c r="D97" s="157">
        <f t="shared" si="3"/>
        <v>0</v>
      </c>
      <c r="E97" s="139" t="s">
        <v>679</v>
      </c>
    </row>
    <row r="98" spans="1:8" x14ac:dyDescent="0.25">
      <c r="A98" s="194" t="s">
        <v>1444</v>
      </c>
      <c r="B98" s="191" t="s">
        <v>431</v>
      </c>
      <c r="C98" s="188">
        <v>0</v>
      </c>
      <c r="D98" s="189">
        <f t="shared" si="3"/>
        <v>0</v>
      </c>
      <c r="E98" s="140" t="s">
        <v>680</v>
      </c>
    </row>
    <row r="99" spans="1:8" x14ac:dyDescent="0.25">
      <c r="A99" s="94" t="s">
        <v>110</v>
      </c>
      <c r="B99" s="99" t="s">
        <v>270</v>
      </c>
      <c r="C99" s="68">
        <f>SUM(C101:C110)</f>
        <v>0</v>
      </c>
      <c r="D99" s="68">
        <f>SUM(D101:D110)</f>
        <v>0</v>
      </c>
    </row>
    <row r="100" spans="1:8" x14ac:dyDescent="0.25">
      <c r="A100" s="88" t="s">
        <v>728</v>
      </c>
      <c r="B100" s="111" t="str">
        <f>DG!D111</f>
        <v>Statia 110/6 kV Radiatoare, jud. SV</v>
      </c>
      <c r="C100" s="89"/>
      <c r="D100" s="90"/>
    </row>
    <row r="101" spans="1:8" x14ac:dyDescent="0.25">
      <c r="A101" s="158" t="s">
        <v>1465</v>
      </c>
      <c r="B101" s="147" t="s">
        <v>1455</v>
      </c>
      <c r="C101" s="148">
        <v>0</v>
      </c>
      <c r="D101" s="159">
        <v>0</v>
      </c>
      <c r="E101" s="137" t="s">
        <v>677</v>
      </c>
      <c r="G101" s="137" t="s">
        <v>677</v>
      </c>
      <c r="H101" s="164">
        <f>C101</f>
        <v>0</v>
      </c>
    </row>
    <row r="102" spans="1:8" ht="12" customHeight="1" x14ac:dyDescent="0.25">
      <c r="A102" s="162" t="s">
        <v>1466</v>
      </c>
      <c r="B102" s="151" t="s">
        <v>1456</v>
      </c>
      <c r="C102" s="152">
        <v>0</v>
      </c>
      <c r="D102" s="163">
        <v>0</v>
      </c>
      <c r="E102" s="138" t="s">
        <v>678</v>
      </c>
      <c r="G102" s="138" t="s">
        <v>678</v>
      </c>
      <c r="H102" s="133">
        <f>C102+C105+C106</f>
        <v>0</v>
      </c>
    </row>
    <row r="103" spans="1:8" ht="12" customHeight="1" x14ac:dyDescent="0.25">
      <c r="A103" s="160" t="s">
        <v>1467</v>
      </c>
      <c r="B103" s="155" t="s">
        <v>1457</v>
      </c>
      <c r="C103" s="156">
        <v>0</v>
      </c>
      <c r="D103" s="161">
        <v>0</v>
      </c>
      <c r="E103" s="139" t="s">
        <v>679</v>
      </c>
      <c r="G103" s="139" t="s">
        <v>679</v>
      </c>
      <c r="H103" s="133">
        <f>C103+C104+C108</f>
        <v>0</v>
      </c>
    </row>
    <row r="104" spans="1:8" x14ac:dyDescent="0.25">
      <c r="A104" s="160" t="s">
        <v>1468</v>
      </c>
      <c r="B104" s="155" t="s">
        <v>1458</v>
      </c>
      <c r="C104" s="156">
        <v>0</v>
      </c>
      <c r="D104" s="161">
        <v>0</v>
      </c>
      <c r="E104" s="139" t="s">
        <v>679</v>
      </c>
      <c r="G104" s="140" t="s">
        <v>680</v>
      </c>
      <c r="H104" s="133">
        <f>C107+C109+C110</f>
        <v>0</v>
      </c>
    </row>
    <row r="105" spans="1:8" x14ac:dyDescent="0.25">
      <c r="A105" s="162" t="s">
        <v>1469</v>
      </c>
      <c r="B105" s="151" t="s">
        <v>1459</v>
      </c>
      <c r="C105" s="152">
        <v>0</v>
      </c>
      <c r="D105" s="163">
        <v>0</v>
      </c>
      <c r="E105" s="138" t="s">
        <v>678</v>
      </c>
    </row>
    <row r="106" spans="1:8" ht="12" customHeight="1" x14ac:dyDescent="0.25">
      <c r="A106" s="162" t="s">
        <v>1470</v>
      </c>
      <c r="B106" s="151" t="s">
        <v>1460</v>
      </c>
      <c r="C106" s="152">
        <v>0</v>
      </c>
      <c r="D106" s="163">
        <v>0</v>
      </c>
      <c r="E106" s="138" t="s">
        <v>678</v>
      </c>
      <c r="H106" s="169">
        <f>C99-H101-H102-H103-H104</f>
        <v>0</v>
      </c>
    </row>
    <row r="107" spans="1:8" ht="12" customHeight="1" x14ac:dyDescent="0.25">
      <c r="A107" s="194" t="s">
        <v>1471</v>
      </c>
      <c r="B107" s="191" t="s">
        <v>1461</v>
      </c>
      <c r="C107" s="188">
        <v>0</v>
      </c>
      <c r="D107" s="197">
        <v>0</v>
      </c>
      <c r="E107" s="140" t="s">
        <v>680</v>
      </c>
    </row>
    <row r="108" spans="1:8" ht="12" customHeight="1" x14ac:dyDescent="0.25">
      <c r="A108" s="160" t="s">
        <v>1472</v>
      </c>
      <c r="B108" s="155" t="s">
        <v>1462</v>
      </c>
      <c r="C108" s="156">
        <v>0</v>
      </c>
      <c r="D108" s="161">
        <v>0</v>
      </c>
      <c r="E108" s="139" t="s">
        <v>679</v>
      </c>
    </row>
    <row r="109" spans="1:8" ht="12" customHeight="1" x14ac:dyDescent="0.25">
      <c r="A109" s="194" t="s">
        <v>1473</v>
      </c>
      <c r="B109" s="191" t="s">
        <v>1463</v>
      </c>
      <c r="C109" s="188">
        <v>0</v>
      </c>
      <c r="D109" s="197">
        <v>0</v>
      </c>
      <c r="E109" s="140" t="s">
        <v>680</v>
      </c>
    </row>
    <row r="110" spans="1:8" ht="12" customHeight="1" x14ac:dyDescent="0.25">
      <c r="A110" s="194" t="s">
        <v>1474</v>
      </c>
      <c r="B110" s="191" t="s">
        <v>1464</v>
      </c>
      <c r="C110" s="188">
        <v>0</v>
      </c>
      <c r="D110" s="197">
        <v>0</v>
      </c>
      <c r="E110" s="140" t="s">
        <v>680</v>
      </c>
    </row>
    <row r="111" spans="1:8" ht="12" customHeight="1" x14ac:dyDescent="0.25">
      <c r="A111" s="74" t="s">
        <v>119</v>
      </c>
      <c r="B111" s="83" t="s">
        <v>282</v>
      </c>
      <c r="C111" s="73">
        <v>0</v>
      </c>
      <c r="D111" s="73">
        <v>0</v>
      </c>
    </row>
    <row r="112" spans="1:8" x14ac:dyDescent="0.25">
      <c r="A112" s="74" t="s">
        <v>121</v>
      </c>
      <c r="B112" s="72" t="s">
        <v>283</v>
      </c>
      <c r="C112" s="73">
        <v>0</v>
      </c>
      <c r="D112" s="73">
        <v>0</v>
      </c>
    </row>
    <row r="113" spans="1:4" x14ac:dyDescent="0.25">
      <c r="A113" s="74" t="s">
        <v>123</v>
      </c>
      <c r="B113" s="72" t="s">
        <v>284</v>
      </c>
      <c r="C113" s="73">
        <v>0</v>
      </c>
      <c r="D113" s="73">
        <v>0</v>
      </c>
    </row>
    <row r="114" spans="1:4" x14ac:dyDescent="0.25">
      <c r="A114" s="74" t="s">
        <v>127</v>
      </c>
      <c r="B114" s="72" t="s">
        <v>285</v>
      </c>
      <c r="C114" s="73">
        <v>0</v>
      </c>
      <c r="D114" s="73">
        <v>0</v>
      </c>
    </row>
    <row r="115" spans="1:4" x14ac:dyDescent="0.25">
      <c r="A115" s="74" t="s">
        <v>286</v>
      </c>
      <c r="B115" s="77" t="s">
        <v>287</v>
      </c>
      <c r="C115" s="73">
        <v>0</v>
      </c>
      <c r="D115" s="73">
        <v>0</v>
      </c>
    </row>
    <row r="116" spans="1:4" x14ac:dyDescent="0.25">
      <c r="A116" s="74" t="s">
        <v>288</v>
      </c>
      <c r="B116" s="72" t="s">
        <v>289</v>
      </c>
      <c r="C116" s="73">
        <v>0</v>
      </c>
      <c r="D116" s="73">
        <v>0</v>
      </c>
    </row>
    <row r="117" spans="1:4" x14ac:dyDescent="0.25">
      <c r="A117" s="74" t="s">
        <v>150</v>
      </c>
      <c r="B117" s="72" t="s">
        <v>290</v>
      </c>
      <c r="C117" s="73">
        <v>0</v>
      </c>
      <c r="D117" s="73">
        <v>0</v>
      </c>
    </row>
    <row r="118" spans="1:4" x14ac:dyDescent="0.25">
      <c r="A118" s="274" t="s">
        <v>291</v>
      </c>
      <c r="B118" s="274"/>
      <c r="C118" s="73">
        <f>C13+C33+C34+C41</f>
        <v>0</v>
      </c>
      <c r="D118" s="73">
        <f>D13+D33+D34+D41</f>
        <v>0</v>
      </c>
    </row>
    <row r="119" spans="1:4" x14ac:dyDescent="0.25">
      <c r="A119" s="274" t="s">
        <v>292</v>
      </c>
      <c r="B119" s="274"/>
      <c r="C119" s="73">
        <f>C118*19%</f>
        <v>0</v>
      </c>
      <c r="D119" s="73">
        <f>D118*19%</f>
        <v>0</v>
      </c>
    </row>
    <row r="120" spans="1:4" x14ac:dyDescent="0.25">
      <c r="A120" s="274" t="s">
        <v>293</v>
      </c>
      <c r="B120" s="274"/>
      <c r="C120" s="73">
        <f>C118+C119</f>
        <v>0</v>
      </c>
      <c r="D120" s="73">
        <f>D118+D119</f>
        <v>0</v>
      </c>
    </row>
  </sheetData>
  <mergeCells count="12">
    <mergeCell ref="A9:B9"/>
    <mergeCell ref="C9:D9"/>
    <mergeCell ref="A1:B1"/>
    <mergeCell ref="A2:B2"/>
    <mergeCell ref="A3:D3"/>
    <mergeCell ref="A4:D4"/>
    <mergeCell ref="B6:D6"/>
    <mergeCell ref="A10:A11"/>
    <mergeCell ref="B10:B11"/>
    <mergeCell ref="A118:B118"/>
    <mergeCell ref="A119:B119"/>
    <mergeCell ref="A120:B120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B4C7-545F-4639-A935-581E7A2D68A6}">
  <dimension ref="A1:H142"/>
  <sheetViews>
    <sheetView topLeftCell="A132" zoomScale="170" zoomScaleNormal="170" zoomScaleSheetLayoutView="100" workbookViewId="0">
      <selection activeCell="C131" sqref="C131"/>
    </sheetView>
  </sheetViews>
  <sheetFormatPr defaultRowHeight="12" x14ac:dyDescent="0.25"/>
  <cols>
    <col min="1" max="1" width="6.09765625" style="81" customWidth="1"/>
    <col min="2" max="2" width="60.3984375" style="67" customWidth="1"/>
    <col min="3" max="3" width="11.09765625" style="67" customWidth="1"/>
    <col min="4" max="4" width="10.69921875" style="67" customWidth="1"/>
    <col min="5" max="5" width="10.09765625" style="67" customWidth="1"/>
    <col min="6" max="6" width="8.69921875" style="67"/>
    <col min="7" max="7" width="10.8984375" style="67" customWidth="1"/>
    <col min="8" max="8" width="10.199218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DG!D86</f>
        <v>Statia 110/20/6 kV Tarnita, jud. SV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C14+C15+C49+C52</f>
        <v>0</v>
      </c>
      <c r="D13" s="102">
        <f>D14+D15+D49+D52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SUM(C17:C48)</f>
        <v>0</v>
      </c>
      <c r="D15" s="68">
        <f>SUM(D17:D48)</f>
        <v>0</v>
      </c>
    </row>
    <row r="16" spans="1:5" x14ac:dyDescent="0.25">
      <c r="A16" s="109" t="s">
        <v>734</v>
      </c>
      <c r="B16" s="70" t="str">
        <f>B8</f>
        <v>Statia 110/20/6 kV Tarnita, jud. SV</v>
      </c>
      <c r="C16" s="66"/>
      <c r="D16" s="66"/>
    </row>
    <row r="17" spans="1:8" x14ac:dyDescent="0.25">
      <c r="A17" s="174" t="s">
        <v>1160</v>
      </c>
      <c r="B17" s="147" t="s">
        <v>334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C17+C18+C19+C20+C21+C22+C23+C24+C29+C30+C32+C34</f>
        <v>0</v>
      </c>
    </row>
    <row r="18" spans="1:8" ht="11.1" customHeight="1" x14ac:dyDescent="0.25">
      <c r="A18" s="174" t="s">
        <v>1161</v>
      </c>
      <c r="B18" s="147" t="s">
        <v>336</v>
      </c>
      <c r="C18" s="148">
        <v>0</v>
      </c>
      <c r="D18" s="149">
        <f t="shared" ref="D18:D20" si="0">C18</f>
        <v>0</v>
      </c>
      <c r="E18" s="137" t="s">
        <v>677</v>
      </c>
      <c r="G18" s="138" t="s">
        <v>678</v>
      </c>
      <c r="H18" s="164">
        <f>C33+C44</f>
        <v>0</v>
      </c>
    </row>
    <row r="19" spans="1:8" ht="11.1" customHeight="1" x14ac:dyDescent="0.25">
      <c r="A19" s="174" t="s">
        <v>1162</v>
      </c>
      <c r="B19" s="147" t="s">
        <v>338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C25+C26+C27+C28+SUM(C35:C38)+SUM(C42:C43)</f>
        <v>0</v>
      </c>
    </row>
    <row r="20" spans="1:8" ht="11.1" customHeight="1" x14ac:dyDescent="0.25">
      <c r="A20" s="174" t="s">
        <v>1163</v>
      </c>
      <c r="B20" s="147" t="s">
        <v>340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33">
        <f>C31+SUM(C39:C41)+SUM(C45:C48)</f>
        <v>0</v>
      </c>
    </row>
    <row r="21" spans="1:8" ht="11.1" customHeight="1" x14ac:dyDescent="0.25">
      <c r="A21" s="174" t="s">
        <v>1164</v>
      </c>
      <c r="B21" s="147" t="s">
        <v>342</v>
      </c>
      <c r="C21" s="148">
        <v>0</v>
      </c>
      <c r="D21" s="149">
        <f t="shared" ref="D21:D30" si="1">C21</f>
        <v>0</v>
      </c>
      <c r="E21" s="137" t="s">
        <v>677</v>
      </c>
    </row>
    <row r="22" spans="1:8" ht="11.1" customHeight="1" x14ac:dyDescent="0.25">
      <c r="A22" s="174" t="s">
        <v>1165</v>
      </c>
      <c r="B22" s="147" t="s">
        <v>344</v>
      </c>
      <c r="C22" s="148">
        <v>0</v>
      </c>
      <c r="D22" s="149">
        <f t="shared" si="1"/>
        <v>0</v>
      </c>
      <c r="E22" s="137" t="s">
        <v>677</v>
      </c>
      <c r="H22" s="169">
        <f>C15-H17-H18-H19-H20</f>
        <v>0</v>
      </c>
    </row>
    <row r="23" spans="1:8" ht="11.1" customHeight="1" x14ac:dyDescent="0.25">
      <c r="A23" s="174" t="s">
        <v>1166</v>
      </c>
      <c r="B23" s="147" t="s">
        <v>345</v>
      </c>
      <c r="C23" s="148">
        <v>0</v>
      </c>
      <c r="D23" s="149">
        <f t="shared" si="1"/>
        <v>0</v>
      </c>
      <c r="E23" s="137" t="s">
        <v>677</v>
      </c>
    </row>
    <row r="24" spans="1:8" ht="11.1" customHeight="1" x14ac:dyDescent="0.25">
      <c r="A24" s="174" t="s">
        <v>1167</v>
      </c>
      <c r="B24" s="147" t="s">
        <v>346</v>
      </c>
      <c r="C24" s="148">
        <v>0</v>
      </c>
      <c r="D24" s="149">
        <f t="shared" si="1"/>
        <v>0</v>
      </c>
      <c r="E24" s="137" t="s">
        <v>677</v>
      </c>
    </row>
    <row r="25" spans="1:8" ht="11.1" customHeight="1" x14ac:dyDescent="0.25">
      <c r="A25" s="175" t="s">
        <v>1168</v>
      </c>
      <c r="B25" s="155" t="s">
        <v>1175</v>
      </c>
      <c r="C25" s="156">
        <v>0</v>
      </c>
      <c r="D25" s="157">
        <f t="shared" si="1"/>
        <v>0</v>
      </c>
      <c r="E25" s="139" t="s">
        <v>679</v>
      </c>
    </row>
    <row r="26" spans="1:8" ht="11.1" customHeight="1" x14ac:dyDescent="0.25">
      <c r="A26" s="175" t="s">
        <v>1169</v>
      </c>
      <c r="B26" s="155" t="s">
        <v>1176</v>
      </c>
      <c r="C26" s="156">
        <v>0</v>
      </c>
      <c r="D26" s="157">
        <f t="shared" si="1"/>
        <v>0</v>
      </c>
      <c r="E26" s="139" t="s">
        <v>679</v>
      </c>
    </row>
    <row r="27" spans="1:8" ht="11.1" customHeight="1" x14ac:dyDescent="0.25">
      <c r="A27" s="175" t="s">
        <v>1170</v>
      </c>
      <c r="B27" s="155" t="s">
        <v>347</v>
      </c>
      <c r="C27" s="156">
        <v>0</v>
      </c>
      <c r="D27" s="157">
        <f t="shared" si="1"/>
        <v>0</v>
      </c>
      <c r="E27" s="139" t="s">
        <v>679</v>
      </c>
    </row>
    <row r="28" spans="1:8" ht="11.1" customHeight="1" x14ac:dyDescent="0.25">
      <c r="A28" s="175" t="s">
        <v>1171</v>
      </c>
      <c r="B28" s="155" t="s">
        <v>348</v>
      </c>
      <c r="C28" s="156">
        <v>0</v>
      </c>
      <c r="D28" s="157">
        <f t="shared" si="1"/>
        <v>0</v>
      </c>
      <c r="E28" s="139" t="s">
        <v>679</v>
      </c>
    </row>
    <row r="29" spans="1:8" ht="11.1" customHeight="1" x14ac:dyDescent="0.25">
      <c r="A29" s="174" t="s">
        <v>1172</v>
      </c>
      <c r="B29" s="147" t="s">
        <v>349</v>
      </c>
      <c r="C29" s="148">
        <v>0</v>
      </c>
      <c r="D29" s="149">
        <f t="shared" si="1"/>
        <v>0</v>
      </c>
      <c r="E29" s="137" t="s">
        <v>677</v>
      </c>
    </row>
    <row r="30" spans="1:8" ht="11.1" customHeight="1" x14ac:dyDescent="0.25">
      <c r="A30" s="174" t="s">
        <v>1173</v>
      </c>
      <c r="B30" s="147" t="s">
        <v>350</v>
      </c>
      <c r="C30" s="148">
        <v>0</v>
      </c>
      <c r="D30" s="149">
        <f t="shared" si="1"/>
        <v>0</v>
      </c>
      <c r="E30" s="137" t="s">
        <v>677</v>
      </c>
    </row>
    <row r="31" spans="1:8" ht="11.1" customHeight="1" x14ac:dyDescent="0.25">
      <c r="A31" s="198" t="s">
        <v>1174</v>
      </c>
      <c r="B31" s="191" t="s">
        <v>351</v>
      </c>
      <c r="C31" s="188">
        <v>0</v>
      </c>
      <c r="D31" s="189">
        <f t="shared" ref="D31:D49" si="2">C31</f>
        <v>0</v>
      </c>
      <c r="E31" s="140" t="s">
        <v>680</v>
      </c>
    </row>
    <row r="32" spans="1:8" ht="11.1" customHeight="1" x14ac:dyDescent="0.25">
      <c r="A32" s="146" t="s">
        <v>1841</v>
      </c>
      <c r="B32" s="147" t="s">
        <v>1257</v>
      </c>
      <c r="C32" s="148">
        <v>0</v>
      </c>
      <c r="D32" s="149">
        <f t="shared" si="2"/>
        <v>0</v>
      </c>
      <c r="E32" s="137" t="s">
        <v>677</v>
      </c>
    </row>
    <row r="33" spans="1:5" ht="11.1" customHeight="1" x14ac:dyDescent="0.25">
      <c r="A33" s="150" t="s">
        <v>1842</v>
      </c>
      <c r="B33" s="151" t="s">
        <v>1258</v>
      </c>
      <c r="C33" s="152">
        <v>0</v>
      </c>
      <c r="D33" s="153">
        <f t="shared" si="2"/>
        <v>0</v>
      </c>
      <c r="E33" s="138" t="s">
        <v>678</v>
      </c>
    </row>
    <row r="34" spans="1:5" ht="11.1" customHeight="1" x14ac:dyDescent="0.25">
      <c r="A34" s="146" t="s">
        <v>1843</v>
      </c>
      <c r="B34" s="147" t="s">
        <v>355</v>
      </c>
      <c r="C34" s="148">
        <v>0</v>
      </c>
      <c r="D34" s="149">
        <f t="shared" si="2"/>
        <v>0</v>
      </c>
      <c r="E34" s="137" t="s">
        <v>677</v>
      </c>
    </row>
    <row r="35" spans="1:5" ht="11.1" customHeight="1" x14ac:dyDescent="0.25">
      <c r="A35" s="154" t="s">
        <v>1844</v>
      </c>
      <c r="B35" s="155" t="s">
        <v>1259</v>
      </c>
      <c r="C35" s="156">
        <v>0</v>
      </c>
      <c r="D35" s="157">
        <f t="shared" si="2"/>
        <v>0</v>
      </c>
      <c r="E35" s="139" t="s">
        <v>679</v>
      </c>
    </row>
    <row r="36" spans="1:5" ht="11.1" customHeight="1" x14ac:dyDescent="0.25">
      <c r="A36" s="154" t="s">
        <v>1845</v>
      </c>
      <c r="B36" s="155" t="s">
        <v>1260</v>
      </c>
      <c r="C36" s="156">
        <v>0</v>
      </c>
      <c r="D36" s="157">
        <f t="shared" si="2"/>
        <v>0</v>
      </c>
      <c r="E36" s="139" t="s">
        <v>679</v>
      </c>
    </row>
    <row r="37" spans="1:5" ht="11.1" customHeight="1" x14ac:dyDescent="0.25">
      <c r="A37" s="154" t="s">
        <v>1846</v>
      </c>
      <c r="B37" s="155" t="s">
        <v>1140</v>
      </c>
      <c r="C37" s="156">
        <v>0</v>
      </c>
      <c r="D37" s="157">
        <f t="shared" si="2"/>
        <v>0</v>
      </c>
      <c r="E37" s="139" t="s">
        <v>679</v>
      </c>
    </row>
    <row r="38" spans="1:5" ht="11.1" customHeight="1" x14ac:dyDescent="0.25">
      <c r="A38" s="154" t="s">
        <v>1847</v>
      </c>
      <c r="B38" s="155" t="s">
        <v>1261</v>
      </c>
      <c r="C38" s="156">
        <v>0</v>
      </c>
      <c r="D38" s="157">
        <f t="shared" si="2"/>
        <v>0</v>
      </c>
      <c r="E38" s="139" t="s">
        <v>679</v>
      </c>
    </row>
    <row r="39" spans="1:5" ht="11.1" customHeight="1" x14ac:dyDescent="0.25">
      <c r="A39" s="190" t="s">
        <v>1848</v>
      </c>
      <c r="B39" s="191" t="s">
        <v>363</v>
      </c>
      <c r="C39" s="188">
        <v>0</v>
      </c>
      <c r="D39" s="189">
        <f t="shared" si="2"/>
        <v>0</v>
      </c>
      <c r="E39" s="140" t="s">
        <v>680</v>
      </c>
    </row>
    <row r="40" spans="1:5" ht="11.1" customHeight="1" x14ac:dyDescent="0.25">
      <c r="A40" s="190" t="s">
        <v>1849</v>
      </c>
      <c r="B40" s="191" t="s">
        <v>365</v>
      </c>
      <c r="C40" s="188">
        <v>0</v>
      </c>
      <c r="D40" s="189">
        <f t="shared" si="2"/>
        <v>0</v>
      </c>
      <c r="E40" s="140" t="s">
        <v>680</v>
      </c>
    </row>
    <row r="41" spans="1:5" ht="11.1" customHeight="1" x14ac:dyDescent="0.25">
      <c r="A41" s="190" t="s">
        <v>1850</v>
      </c>
      <c r="B41" s="191" t="s">
        <v>367</v>
      </c>
      <c r="C41" s="188">
        <v>0</v>
      </c>
      <c r="D41" s="189">
        <f t="shared" si="2"/>
        <v>0</v>
      </c>
      <c r="E41" s="140" t="s">
        <v>680</v>
      </c>
    </row>
    <row r="42" spans="1:5" ht="11.1" customHeight="1" x14ac:dyDescent="0.25">
      <c r="A42" s="154" t="s">
        <v>1851</v>
      </c>
      <c r="B42" s="155" t="s">
        <v>369</v>
      </c>
      <c r="C42" s="156">
        <v>0</v>
      </c>
      <c r="D42" s="157">
        <f t="shared" si="2"/>
        <v>0</v>
      </c>
      <c r="E42" s="139" t="s">
        <v>679</v>
      </c>
    </row>
    <row r="43" spans="1:5" ht="11.1" customHeight="1" x14ac:dyDescent="0.25">
      <c r="A43" s="154" t="s">
        <v>1852</v>
      </c>
      <c r="B43" s="155" t="s">
        <v>1262</v>
      </c>
      <c r="C43" s="156">
        <v>0</v>
      </c>
      <c r="D43" s="157">
        <f t="shared" si="2"/>
        <v>0</v>
      </c>
      <c r="E43" s="139" t="s">
        <v>679</v>
      </c>
    </row>
    <row r="44" spans="1:5" ht="11.1" customHeight="1" x14ac:dyDescent="0.25">
      <c r="A44" s="150" t="s">
        <v>1853</v>
      </c>
      <c r="B44" s="151" t="s">
        <v>371</v>
      </c>
      <c r="C44" s="152">
        <v>0</v>
      </c>
      <c r="D44" s="153">
        <f t="shared" si="2"/>
        <v>0</v>
      </c>
      <c r="E44" s="138" t="s">
        <v>678</v>
      </c>
    </row>
    <row r="45" spans="1:5" ht="11.1" customHeight="1" x14ac:dyDescent="0.25">
      <c r="A45" s="190" t="s">
        <v>1854</v>
      </c>
      <c r="B45" s="191" t="s">
        <v>375</v>
      </c>
      <c r="C45" s="188">
        <v>0</v>
      </c>
      <c r="D45" s="189">
        <f t="shared" si="2"/>
        <v>0</v>
      </c>
      <c r="E45" s="140" t="s">
        <v>680</v>
      </c>
    </row>
    <row r="46" spans="1:5" ht="11.1" customHeight="1" x14ac:dyDescent="0.25">
      <c r="A46" s="190" t="s">
        <v>1855</v>
      </c>
      <c r="B46" s="191" t="s">
        <v>377</v>
      </c>
      <c r="C46" s="188">
        <v>0</v>
      </c>
      <c r="D46" s="189">
        <f t="shared" si="2"/>
        <v>0</v>
      </c>
      <c r="E46" s="140" t="s">
        <v>680</v>
      </c>
    </row>
    <row r="47" spans="1:5" ht="11.1" customHeight="1" x14ac:dyDescent="0.25">
      <c r="A47" s="190" t="s">
        <v>1856</v>
      </c>
      <c r="B47" s="191" t="s">
        <v>379</v>
      </c>
      <c r="C47" s="188">
        <v>0</v>
      </c>
      <c r="D47" s="189">
        <f t="shared" si="2"/>
        <v>0</v>
      </c>
      <c r="E47" s="140" t="s">
        <v>680</v>
      </c>
    </row>
    <row r="48" spans="1:5" x14ac:dyDescent="0.25">
      <c r="A48" s="190" t="s">
        <v>1857</v>
      </c>
      <c r="B48" s="191" t="s">
        <v>381</v>
      </c>
      <c r="C48" s="188">
        <v>0</v>
      </c>
      <c r="D48" s="189">
        <f t="shared" si="2"/>
        <v>0</v>
      </c>
      <c r="E48" s="140" t="s">
        <v>680</v>
      </c>
    </row>
    <row r="49" spans="1:8" x14ac:dyDescent="0.25">
      <c r="A49" s="94" t="s">
        <v>39</v>
      </c>
      <c r="B49" s="95" t="s">
        <v>185</v>
      </c>
      <c r="C49" s="96">
        <f>C51</f>
        <v>0</v>
      </c>
      <c r="D49" s="97">
        <f t="shared" si="2"/>
        <v>0</v>
      </c>
    </row>
    <row r="50" spans="1:8" ht="11.1" customHeight="1" x14ac:dyDescent="0.25">
      <c r="A50" s="109" t="s">
        <v>739</v>
      </c>
      <c r="B50" s="75" t="str">
        <f>B8</f>
        <v>Statia 110/20/6 kV Tarnita, jud. SV</v>
      </c>
      <c r="C50" s="89"/>
      <c r="D50" s="66"/>
    </row>
    <row r="51" spans="1:8" s="76" customFormat="1" ht="11.1" customHeight="1" x14ac:dyDescent="0.25">
      <c r="A51" s="109" t="s">
        <v>1177</v>
      </c>
      <c r="B51" s="82" t="s">
        <v>186</v>
      </c>
      <c r="C51" s="118">
        <v>0</v>
      </c>
      <c r="D51" s="66">
        <f>C51</f>
        <v>0</v>
      </c>
    </row>
    <row r="52" spans="1:8" ht="11.1" customHeight="1" x14ac:dyDescent="0.25">
      <c r="A52" s="94" t="s">
        <v>187</v>
      </c>
      <c r="B52" s="98" t="s">
        <v>48</v>
      </c>
      <c r="C52" s="96">
        <v>0</v>
      </c>
      <c r="D52" s="71">
        <v>0</v>
      </c>
    </row>
    <row r="53" spans="1:8" x14ac:dyDescent="0.25">
      <c r="A53" s="103" t="s">
        <v>188</v>
      </c>
      <c r="B53" s="104" t="s">
        <v>189</v>
      </c>
      <c r="C53" s="105">
        <v>0</v>
      </c>
      <c r="D53" s="102">
        <v>0</v>
      </c>
    </row>
    <row r="54" spans="1:8" x14ac:dyDescent="0.25">
      <c r="A54" s="103" t="s">
        <v>190</v>
      </c>
      <c r="B54" s="104" t="s">
        <v>69</v>
      </c>
      <c r="C54" s="106">
        <f>SUM(C55:C60)</f>
        <v>0</v>
      </c>
      <c r="D54" s="106">
        <f>SUM(D55:D60)</f>
        <v>0</v>
      </c>
    </row>
    <row r="55" spans="1:8" ht="12" customHeight="1" x14ac:dyDescent="0.25">
      <c r="A55" s="74" t="s">
        <v>191</v>
      </c>
      <c r="B55" s="72" t="s">
        <v>192</v>
      </c>
      <c r="C55" s="73">
        <v>0</v>
      </c>
      <c r="D55" s="73">
        <v>0</v>
      </c>
    </row>
    <row r="56" spans="1:8" x14ac:dyDescent="0.25">
      <c r="A56" s="74" t="s">
        <v>193</v>
      </c>
      <c r="B56" s="72" t="s">
        <v>194</v>
      </c>
      <c r="C56" s="73">
        <v>0</v>
      </c>
      <c r="D56" s="73">
        <v>0</v>
      </c>
    </row>
    <row r="57" spans="1:8" x14ac:dyDescent="0.25">
      <c r="A57" s="74" t="s">
        <v>195</v>
      </c>
      <c r="B57" s="83" t="s">
        <v>196</v>
      </c>
      <c r="C57" s="73">
        <v>0</v>
      </c>
      <c r="D57" s="73">
        <v>0</v>
      </c>
    </row>
    <row r="58" spans="1:8" ht="12" customHeight="1" x14ac:dyDescent="0.25">
      <c r="A58" s="74" t="s">
        <v>197</v>
      </c>
      <c r="B58" s="83" t="s">
        <v>198</v>
      </c>
      <c r="C58" s="73">
        <v>0</v>
      </c>
      <c r="D58" s="73">
        <v>0</v>
      </c>
    </row>
    <row r="59" spans="1:8" ht="12" customHeight="1" x14ac:dyDescent="0.25">
      <c r="A59" s="74" t="s">
        <v>199</v>
      </c>
      <c r="B59" s="83" t="s">
        <v>200</v>
      </c>
      <c r="C59" s="73">
        <v>0</v>
      </c>
      <c r="D59" s="73">
        <v>0</v>
      </c>
    </row>
    <row r="60" spans="1:8" x14ac:dyDescent="0.25">
      <c r="A60" s="74" t="s">
        <v>201</v>
      </c>
      <c r="B60" s="72" t="s">
        <v>202</v>
      </c>
      <c r="C60" s="73">
        <v>0</v>
      </c>
      <c r="D60" s="73">
        <v>0</v>
      </c>
    </row>
    <row r="61" spans="1:8" ht="10.199999999999999" customHeight="1" x14ac:dyDescent="0.25">
      <c r="A61" s="103" t="s">
        <v>203</v>
      </c>
      <c r="B61" s="104" t="s">
        <v>204</v>
      </c>
      <c r="C61" s="105">
        <f>C62+C108+C121</f>
        <v>0</v>
      </c>
      <c r="D61" s="105">
        <f>D62+D108+D121</f>
        <v>0</v>
      </c>
    </row>
    <row r="62" spans="1:8" x14ac:dyDescent="0.25">
      <c r="A62" s="94" t="s">
        <v>92</v>
      </c>
      <c r="B62" s="99" t="s">
        <v>157</v>
      </c>
      <c r="C62" s="68">
        <f>SUM(C64:C107)</f>
        <v>0</v>
      </c>
      <c r="D62" s="68">
        <f>SUM(D64:D107)</f>
        <v>0</v>
      </c>
    </row>
    <row r="63" spans="1:8" x14ac:dyDescent="0.25">
      <c r="A63" s="87" t="s">
        <v>706</v>
      </c>
      <c r="B63" s="79" t="str">
        <f>B8</f>
        <v>Statia 110/20/6 kV Tarnita, jud. SV</v>
      </c>
      <c r="C63" s="80"/>
      <c r="D63" s="90"/>
    </row>
    <row r="64" spans="1:8" ht="12" customHeight="1" x14ac:dyDescent="0.25">
      <c r="A64" s="146" t="s">
        <v>1213</v>
      </c>
      <c r="B64" s="147" t="s">
        <v>317</v>
      </c>
      <c r="C64" s="148">
        <v>0</v>
      </c>
      <c r="D64" s="149">
        <f t="shared" ref="D64:D107" si="3">C64</f>
        <v>0</v>
      </c>
      <c r="E64" s="137" t="s">
        <v>677</v>
      </c>
      <c r="G64" s="137" t="s">
        <v>677</v>
      </c>
      <c r="H64" s="133">
        <f>C64+C65+C66+C67+C68+C69+C70+C71+C83+C84+C85+C86</f>
        <v>0</v>
      </c>
    </row>
    <row r="65" spans="1:8" ht="12" customHeight="1" x14ac:dyDescent="0.25">
      <c r="A65" s="146" t="s">
        <v>1214</v>
      </c>
      <c r="B65" s="147" t="s">
        <v>384</v>
      </c>
      <c r="C65" s="148">
        <v>0</v>
      </c>
      <c r="D65" s="149">
        <f t="shared" si="3"/>
        <v>0</v>
      </c>
      <c r="E65" s="137" t="s">
        <v>677</v>
      </c>
      <c r="G65" s="138" t="s">
        <v>678</v>
      </c>
      <c r="H65" s="133">
        <f>C87+C90+C105+C106</f>
        <v>0</v>
      </c>
    </row>
    <row r="66" spans="1:8" ht="12" customHeight="1" x14ac:dyDescent="0.25">
      <c r="A66" s="146" t="s">
        <v>1215</v>
      </c>
      <c r="B66" s="147" t="s">
        <v>386</v>
      </c>
      <c r="C66" s="148">
        <v>0</v>
      </c>
      <c r="D66" s="149">
        <f t="shared" si="3"/>
        <v>0</v>
      </c>
      <c r="E66" s="137" t="s">
        <v>677</v>
      </c>
      <c r="G66" s="139" t="s">
        <v>679</v>
      </c>
      <c r="H66" s="133">
        <f>C72+C73+C89+C91+C92+C93</f>
        <v>0</v>
      </c>
    </row>
    <row r="67" spans="1:8" ht="12" customHeight="1" x14ac:dyDescent="0.25">
      <c r="A67" s="146" t="s">
        <v>1216</v>
      </c>
      <c r="B67" s="147" t="s">
        <v>314</v>
      </c>
      <c r="C67" s="148">
        <v>0</v>
      </c>
      <c r="D67" s="149">
        <f t="shared" si="3"/>
        <v>0</v>
      </c>
      <c r="E67" s="137" t="s">
        <v>677</v>
      </c>
      <c r="G67" s="140" t="s">
        <v>680</v>
      </c>
      <c r="H67" s="133">
        <f>C74+C75+C76+C77+C78+C79+C80+C81+C82+C88+C94+C95+C96+C97+C98+C99+C100+C101+C102+C103+C104+C107</f>
        <v>0</v>
      </c>
    </row>
    <row r="68" spans="1:8" ht="12" customHeight="1" x14ac:dyDescent="0.25">
      <c r="A68" s="146" t="s">
        <v>1217</v>
      </c>
      <c r="B68" s="147" t="s">
        <v>316</v>
      </c>
      <c r="C68" s="148">
        <v>0</v>
      </c>
      <c r="D68" s="149">
        <f t="shared" si="3"/>
        <v>0</v>
      </c>
      <c r="E68" s="137" t="s">
        <v>677</v>
      </c>
      <c r="G68" s="141" t="s">
        <v>681</v>
      </c>
      <c r="H68" s="133">
        <f>0</f>
        <v>0</v>
      </c>
    </row>
    <row r="69" spans="1:8" x14ac:dyDescent="0.25">
      <c r="A69" s="146" t="s">
        <v>1218</v>
      </c>
      <c r="B69" s="147" t="s">
        <v>390</v>
      </c>
      <c r="C69" s="148">
        <v>0</v>
      </c>
      <c r="D69" s="149">
        <f t="shared" si="3"/>
        <v>0</v>
      </c>
      <c r="E69" s="137" t="s">
        <v>677</v>
      </c>
    </row>
    <row r="70" spans="1:8" x14ac:dyDescent="0.25">
      <c r="A70" s="146" t="s">
        <v>1219</v>
      </c>
      <c r="B70" s="147" t="s">
        <v>392</v>
      </c>
      <c r="C70" s="148">
        <v>0</v>
      </c>
      <c r="D70" s="149">
        <f t="shared" si="3"/>
        <v>0</v>
      </c>
      <c r="E70" s="137" t="s">
        <v>677</v>
      </c>
      <c r="H70" s="169">
        <f>C62-H64-H65-H66-H67-H68</f>
        <v>0</v>
      </c>
    </row>
    <row r="71" spans="1:8" x14ac:dyDescent="0.25">
      <c r="A71" s="146" t="s">
        <v>1220</v>
      </c>
      <c r="B71" s="147" t="s">
        <v>394</v>
      </c>
      <c r="C71" s="148">
        <v>0</v>
      </c>
      <c r="D71" s="149">
        <f t="shared" si="3"/>
        <v>0</v>
      </c>
      <c r="E71" s="137" t="s">
        <v>677</v>
      </c>
    </row>
    <row r="72" spans="1:8" x14ac:dyDescent="0.25">
      <c r="A72" s="154" t="s">
        <v>1221</v>
      </c>
      <c r="B72" s="155" t="s">
        <v>396</v>
      </c>
      <c r="C72" s="156">
        <v>0</v>
      </c>
      <c r="D72" s="157">
        <f t="shared" si="3"/>
        <v>0</v>
      </c>
      <c r="E72" s="139" t="s">
        <v>679</v>
      </c>
    </row>
    <row r="73" spans="1:8" x14ac:dyDescent="0.25">
      <c r="A73" s="154" t="s">
        <v>1222</v>
      </c>
      <c r="B73" s="155" t="s">
        <v>398</v>
      </c>
      <c r="C73" s="156">
        <v>0</v>
      </c>
      <c r="D73" s="157">
        <f t="shared" si="3"/>
        <v>0</v>
      </c>
      <c r="E73" s="139" t="s">
        <v>679</v>
      </c>
    </row>
    <row r="74" spans="1:8" x14ac:dyDescent="0.25">
      <c r="A74" s="190" t="s">
        <v>1223</v>
      </c>
      <c r="B74" s="191" t="s">
        <v>428</v>
      </c>
      <c r="C74" s="188">
        <v>0</v>
      </c>
      <c r="D74" s="189">
        <f t="shared" si="3"/>
        <v>0</v>
      </c>
      <c r="E74" s="140" t="s">
        <v>680</v>
      </c>
    </row>
    <row r="75" spans="1:8" x14ac:dyDescent="0.25">
      <c r="A75" s="190" t="s">
        <v>1224</v>
      </c>
      <c r="B75" s="191" t="s">
        <v>322</v>
      </c>
      <c r="C75" s="188">
        <v>0</v>
      </c>
      <c r="D75" s="189">
        <f t="shared" si="3"/>
        <v>0</v>
      </c>
      <c r="E75" s="140" t="s">
        <v>680</v>
      </c>
    </row>
    <row r="76" spans="1:8" x14ac:dyDescent="0.25">
      <c r="A76" s="190" t="s">
        <v>1225</v>
      </c>
      <c r="B76" s="191" t="s">
        <v>429</v>
      </c>
      <c r="C76" s="188">
        <v>0</v>
      </c>
      <c r="D76" s="189">
        <f t="shared" si="3"/>
        <v>0</v>
      </c>
      <c r="E76" s="140" t="s">
        <v>680</v>
      </c>
    </row>
    <row r="77" spans="1:8" x14ac:dyDescent="0.25">
      <c r="A77" s="190" t="s">
        <v>1226</v>
      </c>
      <c r="B77" s="191" t="s">
        <v>323</v>
      </c>
      <c r="C77" s="188">
        <v>0</v>
      </c>
      <c r="D77" s="189">
        <f t="shared" si="3"/>
        <v>0</v>
      </c>
      <c r="E77" s="140" t="s">
        <v>680</v>
      </c>
    </row>
    <row r="78" spans="1:8" x14ac:dyDescent="0.25">
      <c r="A78" s="190" t="s">
        <v>1227</v>
      </c>
      <c r="B78" s="191" t="s">
        <v>430</v>
      </c>
      <c r="C78" s="188">
        <v>0</v>
      </c>
      <c r="D78" s="189">
        <f t="shared" si="3"/>
        <v>0</v>
      </c>
      <c r="E78" s="140" t="s">
        <v>680</v>
      </c>
    </row>
    <row r="79" spans="1:8" x14ac:dyDescent="0.25">
      <c r="A79" s="190" t="s">
        <v>1228</v>
      </c>
      <c r="B79" s="191" t="s">
        <v>910</v>
      </c>
      <c r="C79" s="188">
        <v>0</v>
      </c>
      <c r="D79" s="189">
        <f t="shared" si="3"/>
        <v>0</v>
      </c>
      <c r="E79" s="140" t="s">
        <v>680</v>
      </c>
    </row>
    <row r="80" spans="1:8" x14ac:dyDescent="0.25">
      <c r="A80" s="190" t="s">
        <v>1229</v>
      </c>
      <c r="B80" s="191" t="s">
        <v>433</v>
      </c>
      <c r="C80" s="188">
        <v>0</v>
      </c>
      <c r="D80" s="189">
        <f t="shared" si="3"/>
        <v>0</v>
      </c>
      <c r="E80" s="140" t="s">
        <v>680</v>
      </c>
    </row>
    <row r="81" spans="1:5" x14ac:dyDescent="0.25">
      <c r="A81" s="190" t="s">
        <v>1230</v>
      </c>
      <c r="B81" s="191" t="s">
        <v>434</v>
      </c>
      <c r="C81" s="188">
        <v>0</v>
      </c>
      <c r="D81" s="189">
        <f t="shared" si="3"/>
        <v>0</v>
      </c>
      <c r="E81" s="140" t="s">
        <v>680</v>
      </c>
    </row>
    <row r="82" spans="1:5" x14ac:dyDescent="0.25">
      <c r="A82" s="190" t="s">
        <v>1231</v>
      </c>
      <c r="B82" s="191" t="s">
        <v>435</v>
      </c>
      <c r="C82" s="188">
        <v>0</v>
      </c>
      <c r="D82" s="189">
        <f t="shared" si="3"/>
        <v>0</v>
      </c>
      <c r="E82" s="140" t="s">
        <v>680</v>
      </c>
    </row>
    <row r="83" spans="1:5" x14ac:dyDescent="0.25">
      <c r="A83" s="146" t="s">
        <v>1232</v>
      </c>
      <c r="B83" s="147" t="s">
        <v>407</v>
      </c>
      <c r="C83" s="148">
        <v>0</v>
      </c>
      <c r="D83" s="149">
        <f t="shared" si="3"/>
        <v>0</v>
      </c>
      <c r="E83" s="137" t="s">
        <v>677</v>
      </c>
    </row>
    <row r="84" spans="1:5" x14ac:dyDescent="0.25">
      <c r="A84" s="146" t="s">
        <v>1233</v>
      </c>
      <c r="B84" s="147" t="s">
        <v>409</v>
      </c>
      <c r="C84" s="148">
        <v>0</v>
      </c>
      <c r="D84" s="149">
        <f t="shared" si="3"/>
        <v>0</v>
      </c>
      <c r="E84" s="137" t="s">
        <v>677</v>
      </c>
    </row>
    <row r="85" spans="1:5" x14ac:dyDescent="0.25">
      <c r="A85" s="146" t="s">
        <v>1234</v>
      </c>
      <c r="B85" s="147" t="s">
        <v>411</v>
      </c>
      <c r="C85" s="148">
        <v>0</v>
      </c>
      <c r="D85" s="149">
        <f t="shared" si="3"/>
        <v>0</v>
      </c>
      <c r="E85" s="137" t="s">
        <v>677</v>
      </c>
    </row>
    <row r="86" spans="1:5" x14ac:dyDescent="0.25">
      <c r="A86" s="146" t="s">
        <v>1235</v>
      </c>
      <c r="B86" s="147" t="s">
        <v>1263</v>
      </c>
      <c r="C86" s="148">
        <v>0</v>
      </c>
      <c r="D86" s="149">
        <f t="shared" si="3"/>
        <v>0</v>
      </c>
      <c r="E86" s="137" t="s">
        <v>677</v>
      </c>
    </row>
    <row r="87" spans="1:5" x14ac:dyDescent="0.25">
      <c r="A87" s="150" t="s">
        <v>1236</v>
      </c>
      <c r="B87" s="151" t="s">
        <v>1264</v>
      </c>
      <c r="C87" s="152">
        <v>0</v>
      </c>
      <c r="D87" s="153">
        <f t="shared" si="3"/>
        <v>0</v>
      </c>
      <c r="E87" s="138" t="s">
        <v>678</v>
      </c>
    </row>
    <row r="88" spans="1:5" x14ac:dyDescent="0.25">
      <c r="A88" s="190" t="s">
        <v>1237</v>
      </c>
      <c r="B88" s="191" t="s">
        <v>1151</v>
      </c>
      <c r="C88" s="188">
        <v>0</v>
      </c>
      <c r="D88" s="189">
        <f t="shared" si="3"/>
        <v>0</v>
      </c>
      <c r="E88" s="140" t="s">
        <v>680</v>
      </c>
    </row>
    <row r="89" spans="1:5" x14ac:dyDescent="0.25">
      <c r="A89" s="154" t="s">
        <v>1238</v>
      </c>
      <c r="B89" s="155" t="s">
        <v>1265</v>
      </c>
      <c r="C89" s="156">
        <v>0</v>
      </c>
      <c r="D89" s="157">
        <f t="shared" si="3"/>
        <v>0</v>
      </c>
      <c r="E89" s="139" t="s">
        <v>679</v>
      </c>
    </row>
    <row r="90" spans="1:5" x14ac:dyDescent="0.25">
      <c r="A90" s="150" t="s">
        <v>1239</v>
      </c>
      <c r="B90" s="151" t="s">
        <v>1266</v>
      </c>
      <c r="C90" s="152">
        <v>0</v>
      </c>
      <c r="D90" s="153">
        <f t="shared" si="3"/>
        <v>0</v>
      </c>
      <c r="E90" s="138" t="s">
        <v>678</v>
      </c>
    </row>
    <row r="91" spans="1:5" x14ac:dyDescent="0.25">
      <c r="A91" s="154" t="s">
        <v>1240</v>
      </c>
      <c r="B91" s="155" t="s">
        <v>413</v>
      </c>
      <c r="C91" s="156">
        <v>0</v>
      </c>
      <c r="D91" s="157">
        <f t="shared" si="3"/>
        <v>0</v>
      </c>
      <c r="E91" s="139" t="s">
        <v>679</v>
      </c>
    </row>
    <row r="92" spans="1:5" x14ac:dyDescent="0.25">
      <c r="A92" s="154" t="s">
        <v>1241</v>
      </c>
      <c r="B92" s="155" t="s">
        <v>415</v>
      </c>
      <c r="C92" s="156">
        <v>0</v>
      </c>
      <c r="D92" s="157">
        <f t="shared" si="3"/>
        <v>0</v>
      </c>
      <c r="E92" s="139" t="s">
        <v>679</v>
      </c>
    </row>
    <row r="93" spans="1:5" x14ac:dyDescent="0.25">
      <c r="A93" s="154" t="s">
        <v>1242</v>
      </c>
      <c r="B93" s="155" t="s">
        <v>1267</v>
      </c>
      <c r="C93" s="156">
        <v>0</v>
      </c>
      <c r="D93" s="157">
        <f t="shared" si="3"/>
        <v>0</v>
      </c>
      <c r="E93" s="139" t="s">
        <v>679</v>
      </c>
    </row>
    <row r="94" spans="1:5" x14ac:dyDescent="0.25">
      <c r="A94" s="190" t="s">
        <v>1243</v>
      </c>
      <c r="B94" s="191" t="s">
        <v>1268</v>
      </c>
      <c r="C94" s="188">
        <v>0</v>
      </c>
      <c r="D94" s="189">
        <f t="shared" si="3"/>
        <v>0</v>
      </c>
      <c r="E94" s="140" t="s">
        <v>680</v>
      </c>
    </row>
    <row r="95" spans="1:5" x14ac:dyDescent="0.25">
      <c r="A95" s="190" t="s">
        <v>1244</v>
      </c>
      <c r="B95" s="191" t="s">
        <v>424</v>
      </c>
      <c r="C95" s="188">
        <v>0</v>
      </c>
      <c r="D95" s="189">
        <f t="shared" si="3"/>
        <v>0</v>
      </c>
      <c r="E95" s="140" t="s">
        <v>680</v>
      </c>
    </row>
    <row r="96" spans="1:5" x14ac:dyDescent="0.25">
      <c r="A96" s="190" t="s">
        <v>1245</v>
      </c>
      <c r="B96" s="191" t="s">
        <v>425</v>
      </c>
      <c r="C96" s="188">
        <v>0</v>
      </c>
      <c r="D96" s="189">
        <f t="shared" si="3"/>
        <v>0</v>
      </c>
      <c r="E96" s="140" t="s">
        <v>680</v>
      </c>
    </row>
    <row r="97" spans="1:8" x14ac:dyDescent="0.25">
      <c r="A97" s="190" t="s">
        <v>1246</v>
      </c>
      <c r="B97" s="191" t="s">
        <v>427</v>
      </c>
      <c r="C97" s="188">
        <v>0</v>
      </c>
      <c r="D97" s="189">
        <f t="shared" si="3"/>
        <v>0</v>
      </c>
      <c r="E97" s="140" t="s">
        <v>680</v>
      </c>
    </row>
    <row r="98" spans="1:8" x14ac:dyDescent="0.25">
      <c r="A98" s="190" t="s">
        <v>1247</v>
      </c>
      <c r="B98" s="191" t="s">
        <v>426</v>
      </c>
      <c r="C98" s="188">
        <v>0</v>
      </c>
      <c r="D98" s="189">
        <f t="shared" si="3"/>
        <v>0</v>
      </c>
      <c r="E98" s="140" t="s">
        <v>680</v>
      </c>
    </row>
    <row r="99" spans="1:8" x14ac:dyDescent="0.25">
      <c r="A99" s="190" t="s">
        <v>1248</v>
      </c>
      <c r="B99" s="191" t="s">
        <v>321</v>
      </c>
      <c r="C99" s="188">
        <v>0</v>
      </c>
      <c r="D99" s="189">
        <f t="shared" si="3"/>
        <v>0</v>
      </c>
      <c r="E99" s="140" t="s">
        <v>680</v>
      </c>
    </row>
    <row r="100" spans="1:8" x14ac:dyDescent="0.25">
      <c r="A100" s="190" t="s">
        <v>1249</v>
      </c>
      <c r="B100" s="191" t="s">
        <v>431</v>
      </c>
      <c r="C100" s="188">
        <v>0</v>
      </c>
      <c r="D100" s="189">
        <f t="shared" si="3"/>
        <v>0</v>
      </c>
      <c r="E100" s="140" t="s">
        <v>680</v>
      </c>
    </row>
    <row r="101" spans="1:8" x14ac:dyDescent="0.25">
      <c r="A101" s="190" t="s">
        <v>1250</v>
      </c>
      <c r="B101" s="191" t="s">
        <v>432</v>
      </c>
      <c r="C101" s="188">
        <v>0</v>
      </c>
      <c r="D101" s="189">
        <f t="shared" si="3"/>
        <v>0</v>
      </c>
      <c r="E101" s="140" t="s">
        <v>680</v>
      </c>
    </row>
    <row r="102" spans="1:8" x14ac:dyDescent="0.25">
      <c r="A102" s="190" t="s">
        <v>1251</v>
      </c>
      <c r="B102" s="191" t="s">
        <v>320</v>
      </c>
      <c r="C102" s="188">
        <v>0</v>
      </c>
      <c r="D102" s="189">
        <f t="shared" si="3"/>
        <v>0</v>
      </c>
      <c r="E102" s="140" t="s">
        <v>680</v>
      </c>
    </row>
    <row r="103" spans="1:8" x14ac:dyDescent="0.25">
      <c r="A103" s="190" t="s">
        <v>1252</v>
      </c>
      <c r="B103" s="191" t="s">
        <v>437</v>
      </c>
      <c r="C103" s="188">
        <v>0</v>
      </c>
      <c r="D103" s="189">
        <f t="shared" si="3"/>
        <v>0</v>
      </c>
      <c r="E103" s="140" t="s">
        <v>680</v>
      </c>
    </row>
    <row r="104" spans="1:8" x14ac:dyDescent="0.25">
      <c r="A104" s="190" t="s">
        <v>1253</v>
      </c>
      <c r="B104" s="191" t="s">
        <v>438</v>
      </c>
      <c r="C104" s="188">
        <v>0</v>
      </c>
      <c r="D104" s="189">
        <f t="shared" si="3"/>
        <v>0</v>
      </c>
      <c r="E104" s="140" t="s">
        <v>680</v>
      </c>
    </row>
    <row r="105" spans="1:8" x14ac:dyDescent="0.25">
      <c r="A105" s="150" t="s">
        <v>1254</v>
      </c>
      <c r="B105" s="151" t="s">
        <v>439</v>
      </c>
      <c r="C105" s="152">
        <v>0</v>
      </c>
      <c r="D105" s="153">
        <f t="shared" si="3"/>
        <v>0</v>
      </c>
      <c r="E105" s="138" t="s">
        <v>678</v>
      </c>
      <c r="F105" s="67" t="s">
        <v>163</v>
      </c>
    </row>
    <row r="106" spans="1:8" x14ac:dyDescent="0.25">
      <c r="A106" s="150" t="s">
        <v>1255</v>
      </c>
      <c r="B106" s="151" t="s">
        <v>511</v>
      </c>
      <c r="C106" s="152">
        <v>0</v>
      </c>
      <c r="D106" s="153">
        <f t="shared" si="3"/>
        <v>0</v>
      </c>
      <c r="E106" s="138" t="s">
        <v>678</v>
      </c>
      <c r="F106" s="67" t="s">
        <v>158</v>
      </c>
    </row>
    <row r="107" spans="1:8" x14ac:dyDescent="0.25">
      <c r="A107" s="190" t="s">
        <v>1256</v>
      </c>
      <c r="B107" s="191" t="s">
        <v>256</v>
      </c>
      <c r="C107" s="188">
        <v>0</v>
      </c>
      <c r="D107" s="189">
        <f t="shared" si="3"/>
        <v>0</v>
      </c>
      <c r="E107" s="140" t="s">
        <v>680</v>
      </c>
      <c r="G107" s="133">
        <f>0</f>
        <v>0</v>
      </c>
    </row>
    <row r="108" spans="1:8" x14ac:dyDescent="0.25">
      <c r="A108" s="94" t="s">
        <v>101</v>
      </c>
      <c r="B108" s="99" t="s">
        <v>261</v>
      </c>
      <c r="C108" s="68">
        <f>SUM(C110:C120)</f>
        <v>0</v>
      </c>
      <c r="D108" s="68">
        <f>SUM(D110:D120)</f>
        <v>0</v>
      </c>
    </row>
    <row r="109" spans="1:8" x14ac:dyDescent="0.25">
      <c r="A109" s="87" t="s">
        <v>724</v>
      </c>
      <c r="B109" s="111" t="str">
        <f>DG!D99</f>
        <v>Statia 110/20/6 kV Tarnita, jud. SV</v>
      </c>
      <c r="C109" s="89"/>
      <c r="D109" s="90"/>
    </row>
    <row r="110" spans="1:8" x14ac:dyDescent="0.25">
      <c r="A110" s="160" t="s">
        <v>1191</v>
      </c>
      <c r="B110" s="155" t="s">
        <v>1202</v>
      </c>
      <c r="C110" s="156">
        <v>0</v>
      </c>
      <c r="D110" s="157">
        <f t="shared" ref="D110:D120" si="4">C110</f>
        <v>0</v>
      </c>
      <c r="E110" s="139" t="s">
        <v>679</v>
      </c>
      <c r="G110" s="137" t="s">
        <v>677</v>
      </c>
      <c r="H110" s="164">
        <f>C111</f>
        <v>0</v>
      </c>
    </row>
    <row r="111" spans="1:8" x14ac:dyDescent="0.25">
      <c r="A111" s="158" t="s">
        <v>1192</v>
      </c>
      <c r="B111" s="147" t="s">
        <v>1203</v>
      </c>
      <c r="C111" s="148">
        <v>0</v>
      </c>
      <c r="D111" s="149">
        <f t="shared" si="4"/>
        <v>0</v>
      </c>
      <c r="E111" s="137" t="s">
        <v>677</v>
      </c>
      <c r="G111" s="138" t="s">
        <v>678</v>
      </c>
      <c r="H111" s="133">
        <f>C112+C120</f>
        <v>0</v>
      </c>
    </row>
    <row r="112" spans="1:8" ht="12" customHeight="1" x14ac:dyDescent="0.25">
      <c r="A112" s="162" t="s">
        <v>1193</v>
      </c>
      <c r="B112" s="151" t="s">
        <v>1204</v>
      </c>
      <c r="C112" s="152">
        <v>0</v>
      </c>
      <c r="D112" s="153">
        <f t="shared" si="4"/>
        <v>0</v>
      </c>
      <c r="E112" s="138" t="s">
        <v>678</v>
      </c>
      <c r="G112" s="139" t="s">
        <v>679</v>
      </c>
      <c r="H112" s="133">
        <f>C110+C113+C114</f>
        <v>0</v>
      </c>
    </row>
    <row r="113" spans="1:8" ht="12" customHeight="1" x14ac:dyDescent="0.25">
      <c r="A113" s="160" t="s">
        <v>1194</v>
      </c>
      <c r="B113" s="155" t="s">
        <v>1205</v>
      </c>
      <c r="C113" s="156">
        <v>0</v>
      </c>
      <c r="D113" s="157">
        <f t="shared" si="4"/>
        <v>0</v>
      </c>
      <c r="E113" s="139" t="s">
        <v>679</v>
      </c>
      <c r="G113" s="140" t="s">
        <v>680</v>
      </c>
      <c r="H113" s="133">
        <f>C115+C116+C117+C118+C119</f>
        <v>0</v>
      </c>
    </row>
    <row r="114" spans="1:8" x14ac:dyDescent="0.25">
      <c r="A114" s="160" t="s">
        <v>1195</v>
      </c>
      <c r="B114" s="155" t="s">
        <v>1206</v>
      </c>
      <c r="C114" s="156">
        <v>0</v>
      </c>
      <c r="D114" s="157">
        <f t="shared" si="4"/>
        <v>0</v>
      </c>
      <c r="E114" s="139" t="s">
        <v>679</v>
      </c>
    </row>
    <row r="115" spans="1:8" x14ac:dyDescent="0.25">
      <c r="A115" s="194" t="s">
        <v>1196</v>
      </c>
      <c r="B115" s="191" t="s">
        <v>1207</v>
      </c>
      <c r="C115" s="188">
        <v>0</v>
      </c>
      <c r="D115" s="189">
        <f t="shared" si="4"/>
        <v>0</v>
      </c>
      <c r="E115" s="140" t="s">
        <v>680</v>
      </c>
      <c r="H115" s="169">
        <f>C108-H110-H111-H112-H113</f>
        <v>0</v>
      </c>
    </row>
    <row r="116" spans="1:8" x14ac:dyDescent="0.25">
      <c r="A116" s="194" t="s">
        <v>1197</v>
      </c>
      <c r="B116" s="191" t="s">
        <v>1208</v>
      </c>
      <c r="C116" s="188">
        <v>0</v>
      </c>
      <c r="D116" s="189">
        <f t="shared" si="4"/>
        <v>0</v>
      </c>
      <c r="E116" s="140" t="s">
        <v>680</v>
      </c>
    </row>
    <row r="117" spans="1:8" x14ac:dyDescent="0.25">
      <c r="A117" s="194" t="s">
        <v>1198</v>
      </c>
      <c r="B117" s="191" t="s">
        <v>1209</v>
      </c>
      <c r="C117" s="188">
        <v>0</v>
      </c>
      <c r="D117" s="189">
        <f t="shared" si="4"/>
        <v>0</v>
      </c>
      <c r="E117" s="140" t="s">
        <v>680</v>
      </c>
    </row>
    <row r="118" spans="1:8" x14ac:dyDescent="0.25">
      <c r="A118" s="194" t="s">
        <v>1199</v>
      </c>
      <c r="B118" s="191" t="s">
        <v>1210</v>
      </c>
      <c r="C118" s="188">
        <v>0</v>
      </c>
      <c r="D118" s="189">
        <f t="shared" si="4"/>
        <v>0</v>
      </c>
      <c r="E118" s="140" t="s">
        <v>680</v>
      </c>
    </row>
    <row r="119" spans="1:8" x14ac:dyDescent="0.25">
      <c r="A119" s="194" t="s">
        <v>1200</v>
      </c>
      <c r="B119" s="191" t="s">
        <v>1211</v>
      </c>
      <c r="C119" s="188">
        <v>0</v>
      </c>
      <c r="D119" s="189">
        <f t="shared" si="4"/>
        <v>0</v>
      </c>
      <c r="E119" s="140" t="s">
        <v>680</v>
      </c>
      <c r="H119" s="169"/>
    </row>
    <row r="120" spans="1:8" ht="12" customHeight="1" x14ac:dyDescent="0.25">
      <c r="A120" s="162" t="s">
        <v>1201</v>
      </c>
      <c r="B120" s="151" t="s">
        <v>1212</v>
      </c>
      <c r="C120" s="152">
        <v>0</v>
      </c>
      <c r="D120" s="153">
        <f t="shared" si="4"/>
        <v>0</v>
      </c>
      <c r="E120" s="138" t="s">
        <v>678</v>
      </c>
    </row>
    <row r="121" spans="1:8" x14ac:dyDescent="0.25">
      <c r="A121" s="94" t="s">
        <v>110</v>
      </c>
      <c r="B121" s="99" t="s">
        <v>270</v>
      </c>
      <c r="C121" s="68">
        <f>SUM(C123:C132)</f>
        <v>0</v>
      </c>
      <c r="D121" s="68">
        <f>SUM(D123:D132)</f>
        <v>0</v>
      </c>
    </row>
    <row r="122" spans="1:8" x14ac:dyDescent="0.25">
      <c r="A122" s="88" t="s">
        <v>729</v>
      </c>
      <c r="B122" s="111" t="str">
        <f>DG!D112</f>
        <v>Statia 110/20/6 kV Tarnita, jud. SV</v>
      </c>
      <c r="C122" s="89"/>
      <c r="D122" s="89"/>
    </row>
    <row r="123" spans="1:8" x14ac:dyDescent="0.25">
      <c r="A123" s="158" t="s">
        <v>1180</v>
      </c>
      <c r="B123" s="147" t="s">
        <v>441</v>
      </c>
      <c r="C123" s="148">
        <v>0</v>
      </c>
      <c r="D123" s="159">
        <v>0</v>
      </c>
      <c r="E123" s="137" t="s">
        <v>677</v>
      </c>
      <c r="G123" s="137" t="s">
        <v>677</v>
      </c>
      <c r="H123" s="164">
        <f>C123</f>
        <v>0</v>
      </c>
    </row>
    <row r="124" spans="1:8" ht="12" customHeight="1" x14ac:dyDescent="0.25">
      <c r="A124" s="162" t="s">
        <v>1182</v>
      </c>
      <c r="B124" s="151" t="s">
        <v>443</v>
      </c>
      <c r="C124" s="152">
        <v>0</v>
      </c>
      <c r="D124" s="163">
        <v>0</v>
      </c>
      <c r="E124" s="138" t="s">
        <v>678</v>
      </c>
      <c r="G124" s="138" t="s">
        <v>678</v>
      </c>
      <c r="H124" s="133">
        <f>C124+C132</f>
        <v>0</v>
      </c>
    </row>
    <row r="125" spans="1:8" ht="12" customHeight="1" x14ac:dyDescent="0.25">
      <c r="A125" s="160" t="s">
        <v>1183</v>
      </c>
      <c r="B125" s="155" t="s">
        <v>445</v>
      </c>
      <c r="C125" s="156">
        <v>0</v>
      </c>
      <c r="D125" s="161">
        <v>0</v>
      </c>
      <c r="E125" s="139" t="s">
        <v>679</v>
      </c>
      <c r="G125" s="139" t="s">
        <v>679</v>
      </c>
      <c r="H125" s="133">
        <f>C125+C126</f>
        <v>0</v>
      </c>
    </row>
    <row r="126" spans="1:8" x14ac:dyDescent="0.25">
      <c r="A126" s="160" t="s">
        <v>1184</v>
      </c>
      <c r="B126" s="155" t="s">
        <v>1178</v>
      </c>
      <c r="C126" s="156">
        <v>0</v>
      </c>
      <c r="D126" s="161">
        <v>0</v>
      </c>
      <c r="E126" s="139" t="s">
        <v>679</v>
      </c>
      <c r="G126" s="140" t="s">
        <v>680</v>
      </c>
      <c r="H126" s="133">
        <f>C127+C128+C129+C130+C131</f>
        <v>0</v>
      </c>
    </row>
    <row r="127" spans="1:8" x14ac:dyDescent="0.25">
      <c r="A127" s="194" t="s">
        <v>1185</v>
      </c>
      <c r="B127" s="191" t="s">
        <v>604</v>
      </c>
      <c r="C127" s="188">
        <v>0</v>
      </c>
      <c r="D127" s="197">
        <v>0</v>
      </c>
      <c r="E127" s="140" t="s">
        <v>680</v>
      </c>
    </row>
    <row r="128" spans="1:8" ht="12" customHeight="1" x14ac:dyDescent="0.25">
      <c r="A128" s="194" t="s">
        <v>1186</v>
      </c>
      <c r="B128" s="191" t="s">
        <v>606</v>
      </c>
      <c r="C128" s="188">
        <v>0</v>
      </c>
      <c r="D128" s="197">
        <v>0</v>
      </c>
      <c r="E128" s="140" t="s">
        <v>680</v>
      </c>
      <c r="H128" s="169">
        <f>C121-H123-H124-H125-H126</f>
        <v>0</v>
      </c>
    </row>
    <row r="129" spans="1:5" ht="12" customHeight="1" x14ac:dyDescent="0.25">
      <c r="A129" s="194" t="s">
        <v>1187</v>
      </c>
      <c r="B129" s="191" t="s">
        <v>1179</v>
      </c>
      <c r="C129" s="188">
        <v>0</v>
      </c>
      <c r="D129" s="197">
        <v>0</v>
      </c>
      <c r="E129" s="140" t="s">
        <v>680</v>
      </c>
    </row>
    <row r="130" spans="1:5" ht="12" customHeight="1" x14ac:dyDescent="0.25">
      <c r="A130" s="194" t="s">
        <v>1188</v>
      </c>
      <c r="B130" s="191" t="s">
        <v>451</v>
      </c>
      <c r="C130" s="188">
        <v>0</v>
      </c>
      <c r="D130" s="197">
        <v>0</v>
      </c>
      <c r="E130" s="140" t="s">
        <v>680</v>
      </c>
    </row>
    <row r="131" spans="1:5" ht="12" customHeight="1" x14ac:dyDescent="0.25">
      <c r="A131" s="194" t="s">
        <v>1189</v>
      </c>
      <c r="B131" s="191" t="s">
        <v>610</v>
      </c>
      <c r="C131" s="188">
        <v>0</v>
      </c>
      <c r="D131" s="197">
        <v>0</v>
      </c>
      <c r="E131" s="140" t="s">
        <v>680</v>
      </c>
    </row>
    <row r="132" spans="1:5" ht="12" customHeight="1" x14ac:dyDescent="0.25">
      <c r="A132" s="162" t="s">
        <v>1190</v>
      </c>
      <c r="B132" s="151" t="s">
        <v>973</v>
      </c>
      <c r="C132" s="152">
        <v>0</v>
      </c>
      <c r="D132" s="163">
        <v>0</v>
      </c>
      <c r="E132" s="138" t="s">
        <v>678</v>
      </c>
    </row>
    <row r="133" spans="1:5" ht="12" customHeight="1" x14ac:dyDescent="0.25">
      <c r="A133" s="74" t="s">
        <v>119</v>
      </c>
      <c r="B133" s="83" t="s">
        <v>282</v>
      </c>
      <c r="C133" s="73">
        <v>0</v>
      </c>
      <c r="D133" s="73">
        <v>0</v>
      </c>
    </row>
    <row r="134" spans="1:5" x14ac:dyDescent="0.25">
      <c r="A134" s="74" t="s">
        <v>121</v>
      </c>
      <c r="B134" s="72" t="s">
        <v>283</v>
      </c>
      <c r="C134" s="73">
        <v>0</v>
      </c>
      <c r="D134" s="73">
        <v>0</v>
      </c>
    </row>
    <row r="135" spans="1:5" x14ac:dyDescent="0.25">
      <c r="A135" s="74" t="s">
        <v>123</v>
      </c>
      <c r="B135" s="72" t="s">
        <v>284</v>
      </c>
      <c r="C135" s="73">
        <v>0</v>
      </c>
      <c r="D135" s="73">
        <v>0</v>
      </c>
    </row>
    <row r="136" spans="1:5" x14ac:dyDescent="0.25">
      <c r="A136" s="74" t="s">
        <v>127</v>
      </c>
      <c r="B136" s="72" t="s">
        <v>285</v>
      </c>
      <c r="C136" s="73">
        <v>0</v>
      </c>
      <c r="D136" s="73">
        <v>0</v>
      </c>
    </row>
    <row r="137" spans="1:5" x14ac:dyDescent="0.25">
      <c r="A137" s="74" t="s">
        <v>286</v>
      </c>
      <c r="B137" s="77" t="s">
        <v>287</v>
      </c>
      <c r="C137" s="73">
        <v>0</v>
      </c>
      <c r="D137" s="73">
        <v>0</v>
      </c>
    </row>
    <row r="138" spans="1:5" x14ac:dyDescent="0.25">
      <c r="A138" s="74" t="s">
        <v>288</v>
      </c>
      <c r="B138" s="72" t="s">
        <v>289</v>
      </c>
      <c r="C138" s="73">
        <v>0</v>
      </c>
      <c r="D138" s="73">
        <v>0</v>
      </c>
    </row>
    <row r="139" spans="1:5" x14ac:dyDescent="0.25">
      <c r="A139" s="74" t="s">
        <v>150</v>
      </c>
      <c r="B139" s="72" t="s">
        <v>290</v>
      </c>
      <c r="C139" s="73">
        <v>0</v>
      </c>
      <c r="D139" s="73">
        <v>0</v>
      </c>
    </row>
    <row r="140" spans="1:5" x14ac:dyDescent="0.25">
      <c r="A140" s="274" t="s">
        <v>291</v>
      </c>
      <c r="B140" s="274"/>
      <c r="C140" s="73">
        <f>C13+C53+C54+C61</f>
        <v>0</v>
      </c>
      <c r="D140" s="73">
        <f>D13+D53+D54+D61</f>
        <v>0</v>
      </c>
    </row>
    <row r="141" spans="1:5" x14ac:dyDescent="0.25">
      <c r="A141" s="274" t="s">
        <v>292</v>
      </c>
      <c r="B141" s="274"/>
      <c r="C141" s="73">
        <f>C140*19%</f>
        <v>0</v>
      </c>
      <c r="D141" s="73">
        <f>D140*19%</f>
        <v>0</v>
      </c>
    </row>
    <row r="142" spans="1:5" x14ac:dyDescent="0.25">
      <c r="A142" s="274" t="s">
        <v>293</v>
      </c>
      <c r="B142" s="274"/>
      <c r="C142" s="73">
        <f>C140+C141</f>
        <v>0</v>
      </c>
      <c r="D142" s="73">
        <f>D140+D141</f>
        <v>0</v>
      </c>
    </row>
  </sheetData>
  <mergeCells count="12">
    <mergeCell ref="A9:B9"/>
    <mergeCell ref="C9:D9"/>
    <mergeCell ref="A1:B1"/>
    <mergeCell ref="A2:B2"/>
    <mergeCell ref="A3:D3"/>
    <mergeCell ref="A4:D4"/>
    <mergeCell ref="B6:D6"/>
    <mergeCell ref="A10:A11"/>
    <mergeCell ref="B10:B11"/>
    <mergeCell ref="A140:B140"/>
    <mergeCell ref="A141:B141"/>
    <mergeCell ref="A142:B142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  <ignoredErrors>
    <ignoredError sqref="C121:D121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308E9-46F7-4AA0-8A7A-AD6E538748EF}">
  <dimension ref="A1:H136"/>
  <sheetViews>
    <sheetView topLeftCell="A103" zoomScale="85" zoomScaleNormal="85" zoomScaleSheetLayoutView="100" workbookViewId="0">
      <selection activeCell="C131" sqref="C131"/>
    </sheetView>
  </sheetViews>
  <sheetFormatPr defaultRowHeight="12" x14ac:dyDescent="0.25"/>
  <cols>
    <col min="1" max="1" width="6.09765625" style="81" customWidth="1"/>
    <col min="2" max="2" width="60.3984375" style="67" customWidth="1"/>
    <col min="3" max="3" width="11.09765625" style="67" customWidth="1"/>
    <col min="4" max="4" width="10.69921875" style="67" customWidth="1"/>
    <col min="5" max="5" width="10.09765625" style="67" customWidth="1"/>
    <col min="6" max="6" width="8.69921875" style="67"/>
    <col min="7" max="7" width="10.8984375" style="67" customWidth="1"/>
    <col min="8" max="8" width="10.19921875" style="67" customWidth="1"/>
    <col min="9" max="230" width="8.69921875" style="67"/>
    <col min="231" max="231" width="3.8984375" style="67" customWidth="1"/>
    <col min="232" max="232" width="4.09765625" style="67" customWidth="1"/>
    <col min="233" max="233" width="19.19921875" style="67" customWidth="1"/>
    <col min="234" max="234" width="25.09765625" style="67" customWidth="1"/>
    <col min="235" max="235" width="9.3984375" style="67" customWidth="1"/>
    <col min="236" max="236" width="9.8984375" style="67" bestFit="1" customWidth="1"/>
    <col min="237" max="237" width="9.09765625" style="67" customWidth="1"/>
    <col min="238" max="238" width="10.69921875" style="67" customWidth="1"/>
    <col min="239" max="239" width="9.5" style="67" customWidth="1"/>
    <col min="240" max="240" width="10.19921875" style="67" customWidth="1"/>
    <col min="241" max="241" width="9" style="67" customWidth="1"/>
    <col min="242" max="243" width="4.19921875" style="67" customWidth="1"/>
    <col min="244" max="244" width="8.59765625" style="67" customWidth="1"/>
    <col min="245" max="245" width="4.19921875" style="67" customWidth="1"/>
    <col min="246" max="246" width="11.59765625" style="67" customWidth="1"/>
    <col min="247" max="486" width="8.69921875" style="67"/>
    <col min="487" max="487" width="3.8984375" style="67" customWidth="1"/>
    <col min="488" max="488" width="4.09765625" style="67" customWidth="1"/>
    <col min="489" max="489" width="19.19921875" style="67" customWidth="1"/>
    <col min="490" max="490" width="25.09765625" style="67" customWidth="1"/>
    <col min="491" max="491" width="9.3984375" style="67" customWidth="1"/>
    <col min="492" max="492" width="9.8984375" style="67" bestFit="1" customWidth="1"/>
    <col min="493" max="493" width="9.09765625" style="67" customWidth="1"/>
    <col min="494" max="494" width="10.69921875" style="67" customWidth="1"/>
    <col min="495" max="495" width="9.5" style="67" customWidth="1"/>
    <col min="496" max="496" width="10.19921875" style="67" customWidth="1"/>
    <col min="497" max="497" width="9" style="67" customWidth="1"/>
    <col min="498" max="499" width="4.19921875" style="67" customWidth="1"/>
    <col min="500" max="500" width="8.59765625" style="67" customWidth="1"/>
    <col min="501" max="501" width="4.19921875" style="67" customWidth="1"/>
    <col min="502" max="502" width="11.59765625" style="67" customWidth="1"/>
    <col min="503" max="742" width="8.69921875" style="67"/>
    <col min="743" max="743" width="3.8984375" style="67" customWidth="1"/>
    <col min="744" max="744" width="4.09765625" style="67" customWidth="1"/>
    <col min="745" max="745" width="19.19921875" style="67" customWidth="1"/>
    <col min="746" max="746" width="25.09765625" style="67" customWidth="1"/>
    <col min="747" max="747" width="9.3984375" style="67" customWidth="1"/>
    <col min="748" max="748" width="9.8984375" style="67" bestFit="1" customWidth="1"/>
    <col min="749" max="749" width="9.09765625" style="67" customWidth="1"/>
    <col min="750" max="750" width="10.69921875" style="67" customWidth="1"/>
    <col min="751" max="751" width="9.5" style="67" customWidth="1"/>
    <col min="752" max="752" width="10.19921875" style="67" customWidth="1"/>
    <col min="753" max="753" width="9" style="67" customWidth="1"/>
    <col min="754" max="755" width="4.19921875" style="67" customWidth="1"/>
    <col min="756" max="756" width="8.59765625" style="67" customWidth="1"/>
    <col min="757" max="757" width="4.19921875" style="67" customWidth="1"/>
    <col min="758" max="758" width="11.59765625" style="67" customWidth="1"/>
    <col min="759" max="998" width="8.69921875" style="67"/>
    <col min="999" max="999" width="3.8984375" style="67" customWidth="1"/>
    <col min="1000" max="1000" width="4.09765625" style="67" customWidth="1"/>
    <col min="1001" max="1001" width="19.19921875" style="67" customWidth="1"/>
    <col min="1002" max="1002" width="25.09765625" style="67" customWidth="1"/>
    <col min="1003" max="1003" width="9.3984375" style="67" customWidth="1"/>
    <col min="1004" max="1004" width="9.8984375" style="67" bestFit="1" customWidth="1"/>
    <col min="1005" max="1005" width="9.09765625" style="67" customWidth="1"/>
    <col min="1006" max="1006" width="10.69921875" style="67" customWidth="1"/>
    <col min="1007" max="1007" width="9.5" style="67" customWidth="1"/>
    <col min="1008" max="1008" width="10.19921875" style="67" customWidth="1"/>
    <col min="1009" max="1009" width="9" style="67" customWidth="1"/>
    <col min="1010" max="1011" width="4.19921875" style="67" customWidth="1"/>
    <col min="1012" max="1012" width="8.59765625" style="67" customWidth="1"/>
    <col min="1013" max="1013" width="4.19921875" style="67" customWidth="1"/>
    <col min="1014" max="1014" width="11.59765625" style="67" customWidth="1"/>
    <col min="1015" max="1254" width="8.69921875" style="67"/>
    <col min="1255" max="1255" width="3.8984375" style="67" customWidth="1"/>
    <col min="1256" max="1256" width="4.09765625" style="67" customWidth="1"/>
    <col min="1257" max="1257" width="19.19921875" style="67" customWidth="1"/>
    <col min="1258" max="1258" width="25.09765625" style="67" customWidth="1"/>
    <col min="1259" max="1259" width="9.3984375" style="67" customWidth="1"/>
    <col min="1260" max="1260" width="9.8984375" style="67" bestFit="1" customWidth="1"/>
    <col min="1261" max="1261" width="9.09765625" style="67" customWidth="1"/>
    <col min="1262" max="1262" width="10.69921875" style="67" customWidth="1"/>
    <col min="1263" max="1263" width="9.5" style="67" customWidth="1"/>
    <col min="1264" max="1264" width="10.19921875" style="67" customWidth="1"/>
    <col min="1265" max="1265" width="9" style="67" customWidth="1"/>
    <col min="1266" max="1267" width="4.19921875" style="67" customWidth="1"/>
    <col min="1268" max="1268" width="8.59765625" style="67" customWidth="1"/>
    <col min="1269" max="1269" width="4.19921875" style="67" customWidth="1"/>
    <col min="1270" max="1270" width="11.59765625" style="67" customWidth="1"/>
    <col min="1271" max="1510" width="8.69921875" style="67"/>
    <col min="1511" max="1511" width="3.8984375" style="67" customWidth="1"/>
    <col min="1512" max="1512" width="4.09765625" style="67" customWidth="1"/>
    <col min="1513" max="1513" width="19.19921875" style="67" customWidth="1"/>
    <col min="1514" max="1514" width="25.09765625" style="67" customWidth="1"/>
    <col min="1515" max="1515" width="9.3984375" style="67" customWidth="1"/>
    <col min="1516" max="1516" width="9.8984375" style="67" bestFit="1" customWidth="1"/>
    <col min="1517" max="1517" width="9.09765625" style="67" customWidth="1"/>
    <col min="1518" max="1518" width="10.69921875" style="67" customWidth="1"/>
    <col min="1519" max="1519" width="9.5" style="67" customWidth="1"/>
    <col min="1520" max="1520" width="10.19921875" style="67" customWidth="1"/>
    <col min="1521" max="1521" width="9" style="67" customWidth="1"/>
    <col min="1522" max="1523" width="4.19921875" style="67" customWidth="1"/>
    <col min="1524" max="1524" width="8.59765625" style="67" customWidth="1"/>
    <col min="1525" max="1525" width="4.19921875" style="67" customWidth="1"/>
    <col min="1526" max="1526" width="11.59765625" style="67" customWidth="1"/>
    <col min="1527" max="1766" width="8.69921875" style="67"/>
    <col min="1767" max="1767" width="3.8984375" style="67" customWidth="1"/>
    <col min="1768" max="1768" width="4.09765625" style="67" customWidth="1"/>
    <col min="1769" max="1769" width="19.19921875" style="67" customWidth="1"/>
    <col min="1770" max="1770" width="25.09765625" style="67" customWidth="1"/>
    <col min="1771" max="1771" width="9.3984375" style="67" customWidth="1"/>
    <col min="1772" max="1772" width="9.8984375" style="67" bestFit="1" customWidth="1"/>
    <col min="1773" max="1773" width="9.09765625" style="67" customWidth="1"/>
    <col min="1774" max="1774" width="10.69921875" style="67" customWidth="1"/>
    <col min="1775" max="1775" width="9.5" style="67" customWidth="1"/>
    <col min="1776" max="1776" width="10.19921875" style="67" customWidth="1"/>
    <col min="1777" max="1777" width="9" style="67" customWidth="1"/>
    <col min="1778" max="1779" width="4.19921875" style="67" customWidth="1"/>
    <col min="1780" max="1780" width="8.59765625" style="67" customWidth="1"/>
    <col min="1781" max="1781" width="4.19921875" style="67" customWidth="1"/>
    <col min="1782" max="1782" width="11.59765625" style="67" customWidth="1"/>
    <col min="1783" max="2022" width="8.69921875" style="67"/>
    <col min="2023" max="2023" width="3.8984375" style="67" customWidth="1"/>
    <col min="2024" max="2024" width="4.09765625" style="67" customWidth="1"/>
    <col min="2025" max="2025" width="19.19921875" style="67" customWidth="1"/>
    <col min="2026" max="2026" width="25.09765625" style="67" customWidth="1"/>
    <col min="2027" max="2027" width="9.3984375" style="67" customWidth="1"/>
    <col min="2028" max="2028" width="9.8984375" style="67" bestFit="1" customWidth="1"/>
    <col min="2029" max="2029" width="9.09765625" style="67" customWidth="1"/>
    <col min="2030" max="2030" width="10.69921875" style="67" customWidth="1"/>
    <col min="2031" max="2031" width="9.5" style="67" customWidth="1"/>
    <col min="2032" max="2032" width="10.19921875" style="67" customWidth="1"/>
    <col min="2033" max="2033" width="9" style="67" customWidth="1"/>
    <col min="2034" max="2035" width="4.19921875" style="67" customWidth="1"/>
    <col min="2036" max="2036" width="8.59765625" style="67" customWidth="1"/>
    <col min="2037" max="2037" width="4.19921875" style="67" customWidth="1"/>
    <col min="2038" max="2038" width="11.59765625" style="67" customWidth="1"/>
    <col min="2039" max="2278" width="8.69921875" style="67"/>
    <col min="2279" max="2279" width="3.8984375" style="67" customWidth="1"/>
    <col min="2280" max="2280" width="4.09765625" style="67" customWidth="1"/>
    <col min="2281" max="2281" width="19.19921875" style="67" customWidth="1"/>
    <col min="2282" max="2282" width="25.09765625" style="67" customWidth="1"/>
    <col min="2283" max="2283" width="9.3984375" style="67" customWidth="1"/>
    <col min="2284" max="2284" width="9.8984375" style="67" bestFit="1" customWidth="1"/>
    <col min="2285" max="2285" width="9.09765625" style="67" customWidth="1"/>
    <col min="2286" max="2286" width="10.69921875" style="67" customWidth="1"/>
    <col min="2287" max="2287" width="9.5" style="67" customWidth="1"/>
    <col min="2288" max="2288" width="10.19921875" style="67" customWidth="1"/>
    <col min="2289" max="2289" width="9" style="67" customWidth="1"/>
    <col min="2290" max="2291" width="4.19921875" style="67" customWidth="1"/>
    <col min="2292" max="2292" width="8.59765625" style="67" customWidth="1"/>
    <col min="2293" max="2293" width="4.19921875" style="67" customWidth="1"/>
    <col min="2294" max="2294" width="11.59765625" style="67" customWidth="1"/>
    <col min="2295" max="2534" width="8.69921875" style="67"/>
    <col min="2535" max="2535" width="3.8984375" style="67" customWidth="1"/>
    <col min="2536" max="2536" width="4.09765625" style="67" customWidth="1"/>
    <col min="2537" max="2537" width="19.19921875" style="67" customWidth="1"/>
    <col min="2538" max="2538" width="25.09765625" style="67" customWidth="1"/>
    <col min="2539" max="2539" width="9.3984375" style="67" customWidth="1"/>
    <col min="2540" max="2540" width="9.8984375" style="67" bestFit="1" customWidth="1"/>
    <col min="2541" max="2541" width="9.09765625" style="67" customWidth="1"/>
    <col min="2542" max="2542" width="10.69921875" style="67" customWidth="1"/>
    <col min="2543" max="2543" width="9.5" style="67" customWidth="1"/>
    <col min="2544" max="2544" width="10.19921875" style="67" customWidth="1"/>
    <col min="2545" max="2545" width="9" style="67" customWidth="1"/>
    <col min="2546" max="2547" width="4.19921875" style="67" customWidth="1"/>
    <col min="2548" max="2548" width="8.59765625" style="67" customWidth="1"/>
    <col min="2549" max="2549" width="4.19921875" style="67" customWidth="1"/>
    <col min="2550" max="2550" width="11.59765625" style="67" customWidth="1"/>
    <col min="2551" max="2790" width="8.69921875" style="67"/>
    <col min="2791" max="2791" width="3.8984375" style="67" customWidth="1"/>
    <col min="2792" max="2792" width="4.09765625" style="67" customWidth="1"/>
    <col min="2793" max="2793" width="19.19921875" style="67" customWidth="1"/>
    <col min="2794" max="2794" width="25.09765625" style="67" customWidth="1"/>
    <col min="2795" max="2795" width="9.3984375" style="67" customWidth="1"/>
    <col min="2796" max="2796" width="9.8984375" style="67" bestFit="1" customWidth="1"/>
    <col min="2797" max="2797" width="9.09765625" style="67" customWidth="1"/>
    <col min="2798" max="2798" width="10.69921875" style="67" customWidth="1"/>
    <col min="2799" max="2799" width="9.5" style="67" customWidth="1"/>
    <col min="2800" max="2800" width="10.19921875" style="67" customWidth="1"/>
    <col min="2801" max="2801" width="9" style="67" customWidth="1"/>
    <col min="2802" max="2803" width="4.19921875" style="67" customWidth="1"/>
    <col min="2804" max="2804" width="8.59765625" style="67" customWidth="1"/>
    <col min="2805" max="2805" width="4.19921875" style="67" customWidth="1"/>
    <col min="2806" max="2806" width="11.59765625" style="67" customWidth="1"/>
    <col min="2807" max="3046" width="8.69921875" style="67"/>
    <col min="3047" max="3047" width="3.8984375" style="67" customWidth="1"/>
    <col min="3048" max="3048" width="4.09765625" style="67" customWidth="1"/>
    <col min="3049" max="3049" width="19.19921875" style="67" customWidth="1"/>
    <col min="3050" max="3050" width="25.09765625" style="67" customWidth="1"/>
    <col min="3051" max="3051" width="9.3984375" style="67" customWidth="1"/>
    <col min="3052" max="3052" width="9.8984375" style="67" bestFit="1" customWidth="1"/>
    <col min="3053" max="3053" width="9.09765625" style="67" customWidth="1"/>
    <col min="3054" max="3054" width="10.69921875" style="67" customWidth="1"/>
    <col min="3055" max="3055" width="9.5" style="67" customWidth="1"/>
    <col min="3056" max="3056" width="10.19921875" style="67" customWidth="1"/>
    <col min="3057" max="3057" width="9" style="67" customWidth="1"/>
    <col min="3058" max="3059" width="4.19921875" style="67" customWidth="1"/>
    <col min="3060" max="3060" width="8.59765625" style="67" customWidth="1"/>
    <col min="3061" max="3061" width="4.19921875" style="67" customWidth="1"/>
    <col min="3062" max="3062" width="11.59765625" style="67" customWidth="1"/>
    <col min="3063" max="3302" width="8.69921875" style="67"/>
    <col min="3303" max="3303" width="3.8984375" style="67" customWidth="1"/>
    <col min="3304" max="3304" width="4.09765625" style="67" customWidth="1"/>
    <col min="3305" max="3305" width="19.19921875" style="67" customWidth="1"/>
    <col min="3306" max="3306" width="25.09765625" style="67" customWidth="1"/>
    <col min="3307" max="3307" width="9.3984375" style="67" customWidth="1"/>
    <col min="3308" max="3308" width="9.8984375" style="67" bestFit="1" customWidth="1"/>
    <col min="3309" max="3309" width="9.09765625" style="67" customWidth="1"/>
    <col min="3310" max="3310" width="10.69921875" style="67" customWidth="1"/>
    <col min="3311" max="3311" width="9.5" style="67" customWidth="1"/>
    <col min="3312" max="3312" width="10.19921875" style="67" customWidth="1"/>
    <col min="3313" max="3313" width="9" style="67" customWidth="1"/>
    <col min="3314" max="3315" width="4.19921875" style="67" customWidth="1"/>
    <col min="3316" max="3316" width="8.59765625" style="67" customWidth="1"/>
    <col min="3317" max="3317" width="4.19921875" style="67" customWidth="1"/>
    <col min="3318" max="3318" width="11.59765625" style="67" customWidth="1"/>
    <col min="3319" max="3558" width="8.69921875" style="67"/>
    <col min="3559" max="3559" width="3.8984375" style="67" customWidth="1"/>
    <col min="3560" max="3560" width="4.09765625" style="67" customWidth="1"/>
    <col min="3561" max="3561" width="19.19921875" style="67" customWidth="1"/>
    <col min="3562" max="3562" width="25.09765625" style="67" customWidth="1"/>
    <col min="3563" max="3563" width="9.3984375" style="67" customWidth="1"/>
    <col min="3564" max="3564" width="9.8984375" style="67" bestFit="1" customWidth="1"/>
    <col min="3565" max="3565" width="9.09765625" style="67" customWidth="1"/>
    <col min="3566" max="3566" width="10.69921875" style="67" customWidth="1"/>
    <col min="3567" max="3567" width="9.5" style="67" customWidth="1"/>
    <col min="3568" max="3568" width="10.19921875" style="67" customWidth="1"/>
    <col min="3569" max="3569" width="9" style="67" customWidth="1"/>
    <col min="3570" max="3571" width="4.19921875" style="67" customWidth="1"/>
    <col min="3572" max="3572" width="8.59765625" style="67" customWidth="1"/>
    <col min="3573" max="3573" width="4.19921875" style="67" customWidth="1"/>
    <col min="3574" max="3574" width="11.59765625" style="67" customWidth="1"/>
    <col min="3575" max="3814" width="8.69921875" style="67"/>
    <col min="3815" max="3815" width="3.8984375" style="67" customWidth="1"/>
    <col min="3816" max="3816" width="4.09765625" style="67" customWidth="1"/>
    <col min="3817" max="3817" width="19.19921875" style="67" customWidth="1"/>
    <col min="3818" max="3818" width="25.09765625" style="67" customWidth="1"/>
    <col min="3819" max="3819" width="9.3984375" style="67" customWidth="1"/>
    <col min="3820" max="3820" width="9.8984375" style="67" bestFit="1" customWidth="1"/>
    <col min="3821" max="3821" width="9.09765625" style="67" customWidth="1"/>
    <col min="3822" max="3822" width="10.69921875" style="67" customWidth="1"/>
    <col min="3823" max="3823" width="9.5" style="67" customWidth="1"/>
    <col min="3824" max="3824" width="10.19921875" style="67" customWidth="1"/>
    <col min="3825" max="3825" width="9" style="67" customWidth="1"/>
    <col min="3826" max="3827" width="4.19921875" style="67" customWidth="1"/>
    <col min="3828" max="3828" width="8.59765625" style="67" customWidth="1"/>
    <col min="3829" max="3829" width="4.19921875" style="67" customWidth="1"/>
    <col min="3830" max="3830" width="11.59765625" style="67" customWidth="1"/>
    <col min="3831" max="4070" width="8.69921875" style="67"/>
    <col min="4071" max="4071" width="3.8984375" style="67" customWidth="1"/>
    <col min="4072" max="4072" width="4.09765625" style="67" customWidth="1"/>
    <col min="4073" max="4073" width="19.19921875" style="67" customWidth="1"/>
    <col min="4074" max="4074" width="25.09765625" style="67" customWidth="1"/>
    <col min="4075" max="4075" width="9.3984375" style="67" customWidth="1"/>
    <col min="4076" max="4076" width="9.8984375" style="67" bestFit="1" customWidth="1"/>
    <col min="4077" max="4077" width="9.09765625" style="67" customWidth="1"/>
    <col min="4078" max="4078" width="10.69921875" style="67" customWidth="1"/>
    <col min="4079" max="4079" width="9.5" style="67" customWidth="1"/>
    <col min="4080" max="4080" width="10.19921875" style="67" customWidth="1"/>
    <col min="4081" max="4081" width="9" style="67" customWidth="1"/>
    <col min="4082" max="4083" width="4.19921875" style="67" customWidth="1"/>
    <col min="4084" max="4084" width="8.59765625" style="67" customWidth="1"/>
    <col min="4085" max="4085" width="4.19921875" style="67" customWidth="1"/>
    <col min="4086" max="4086" width="11.59765625" style="67" customWidth="1"/>
    <col min="4087" max="4326" width="8.69921875" style="67"/>
    <col min="4327" max="4327" width="3.8984375" style="67" customWidth="1"/>
    <col min="4328" max="4328" width="4.09765625" style="67" customWidth="1"/>
    <col min="4329" max="4329" width="19.19921875" style="67" customWidth="1"/>
    <col min="4330" max="4330" width="25.09765625" style="67" customWidth="1"/>
    <col min="4331" max="4331" width="9.3984375" style="67" customWidth="1"/>
    <col min="4332" max="4332" width="9.8984375" style="67" bestFit="1" customWidth="1"/>
    <col min="4333" max="4333" width="9.09765625" style="67" customWidth="1"/>
    <col min="4334" max="4334" width="10.69921875" style="67" customWidth="1"/>
    <col min="4335" max="4335" width="9.5" style="67" customWidth="1"/>
    <col min="4336" max="4336" width="10.19921875" style="67" customWidth="1"/>
    <col min="4337" max="4337" width="9" style="67" customWidth="1"/>
    <col min="4338" max="4339" width="4.19921875" style="67" customWidth="1"/>
    <col min="4340" max="4340" width="8.59765625" style="67" customWidth="1"/>
    <col min="4341" max="4341" width="4.19921875" style="67" customWidth="1"/>
    <col min="4342" max="4342" width="11.59765625" style="67" customWidth="1"/>
    <col min="4343" max="4582" width="8.69921875" style="67"/>
    <col min="4583" max="4583" width="3.8984375" style="67" customWidth="1"/>
    <col min="4584" max="4584" width="4.09765625" style="67" customWidth="1"/>
    <col min="4585" max="4585" width="19.19921875" style="67" customWidth="1"/>
    <col min="4586" max="4586" width="25.09765625" style="67" customWidth="1"/>
    <col min="4587" max="4587" width="9.3984375" style="67" customWidth="1"/>
    <col min="4588" max="4588" width="9.8984375" style="67" bestFit="1" customWidth="1"/>
    <col min="4589" max="4589" width="9.09765625" style="67" customWidth="1"/>
    <col min="4590" max="4590" width="10.69921875" style="67" customWidth="1"/>
    <col min="4591" max="4591" width="9.5" style="67" customWidth="1"/>
    <col min="4592" max="4592" width="10.19921875" style="67" customWidth="1"/>
    <col min="4593" max="4593" width="9" style="67" customWidth="1"/>
    <col min="4594" max="4595" width="4.19921875" style="67" customWidth="1"/>
    <col min="4596" max="4596" width="8.59765625" style="67" customWidth="1"/>
    <col min="4597" max="4597" width="4.19921875" style="67" customWidth="1"/>
    <col min="4598" max="4598" width="11.59765625" style="67" customWidth="1"/>
    <col min="4599" max="4838" width="8.69921875" style="67"/>
    <col min="4839" max="4839" width="3.8984375" style="67" customWidth="1"/>
    <col min="4840" max="4840" width="4.09765625" style="67" customWidth="1"/>
    <col min="4841" max="4841" width="19.19921875" style="67" customWidth="1"/>
    <col min="4842" max="4842" width="25.09765625" style="67" customWidth="1"/>
    <col min="4843" max="4843" width="9.3984375" style="67" customWidth="1"/>
    <col min="4844" max="4844" width="9.8984375" style="67" bestFit="1" customWidth="1"/>
    <col min="4845" max="4845" width="9.09765625" style="67" customWidth="1"/>
    <col min="4846" max="4846" width="10.69921875" style="67" customWidth="1"/>
    <col min="4847" max="4847" width="9.5" style="67" customWidth="1"/>
    <col min="4848" max="4848" width="10.19921875" style="67" customWidth="1"/>
    <col min="4849" max="4849" width="9" style="67" customWidth="1"/>
    <col min="4850" max="4851" width="4.19921875" style="67" customWidth="1"/>
    <col min="4852" max="4852" width="8.59765625" style="67" customWidth="1"/>
    <col min="4853" max="4853" width="4.19921875" style="67" customWidth="1"/>
    <col min="4854" max="4854" width="11.59765625" style="67" customWidth="1"/>
    <col min="4855" max="5094" width="8.69921875" style="67"/>
    <col min="5095" max="5095" width="3.8984375" style="67" customWidth="1"/>
    <col min="5096" max="5096" width="4.09765625" style="67" customWidth="1"/>
    <col min="5097" max="5097" width="19.19921875" style="67" customWidth="1"/>
    <col min="5098" max="5098" width="25.09765625" style="67" customWidth="1"/>
    <col min="5099" max="5099" width="9.3984375" style="67" customWidth="1"/>
    <col min="5100" max="5100" width="9.8984375" style="67" bestFit="1" customWidth="1"/>
    <col min="5101" max="5101" width="9.09765625" style="67" customWidth="1"/>
    <col min="5102" max="5102" width="10.69921875" style="67" customWidth="1"/>
    <col min="5103" max="5103" width="9.5" style="67" customWidth="1"/>
    <col min="5104" max="5104" width="10.19921875" style="67" customWidth="1"/>
    <col min="5105" max="5105" width="9" style="67" customWidth="1"/>
    <col min="5106" max="5107" width="4.19921875" style="67" customWidth="1"/>
    <col min="5108" max="5108" width="8.59765625" style="67" customWidth="1"/>
    <col min="5109" max="5109" width="4.19921875" style="67" customWidth="1"/>
    <col min="5110" max="5110" width="11.59765625" style="67" customWidth="1"/>
    <col min="5111" max="5350" width="8.69921875" style="67"/>
    <col min="5351" max="5351" width="3.8984375" style="67" customWidth="1"/>
    <col min="5352" max="5352" width="4.09765625" style="67" customWidth="1"/>
    <col min="5353" max="5353" width="19.19921875" style="67" customWidth="1"/>
    <col min="5354" max="5354" width="25.09765625" style="67" customWidth="1"/>
    <col min="5355" max="5355" width="9.3984375" style="67" customWidth="1"/>
    <col min="5356" max="5356" width="9.8984375" style="67" bestFit="1" customWidth="1"/>
    <col min="5357" max="5357" width="9.09765625" style="67" customWidth="1"/>
    <col min="5358" max="5358" width="10.69921875" style="67" customWidth="1"/>
    <col min="5359" max="5359" width="9.5" style="67" customWidth="1"/>
    <col min="5360" max="5360" width="10.19921875" style="67" customWidth="1"/>
    <col min="5361" max="5361" width="9" style="67" customWidth="1"/>
    <col min="5362" max="5363" width="4.19921875" style="67" customWidth="1"/>
    <col min="5364" max="5364" width="8.59765625" style="67" customWidth="1"/>
    <col min="5365" max="5365" width="4.19921875" style="67" customWidth="1"/>
    <col min="5366" max="5366" width="11.59765625" style="67" customWidth="1"/>
    <col min="5367" max="5606" width="8.69921875" style="67"/>
    <col min="5607" max="5607" width="3.8984375" style="67" customWidth="1"/>
    <col min="5608" max="5608" width="4.09765625" style="67" customWidth="1"/>
    <col min="5609" max="5609" width="19.19921875" style="67" customWidth="1"/>
    <col min="5610" max="5610" width="25.09765625" style="67" customWidth="1"/>
    <col min="5611" max="5611" width="9.3984375" style="67" customWidth="1"/>
    <col min="5612" max="5612" width="9.8984375" style="67" bestFit="1" customWidth="1"/>
    <col min="5613" max="5613" width="9.09765625" style="67" customWidth="1"/>
    <col min="5614" max="5614" width="10.69921875" style="67" customWidth="1"/>
    <col min="5615" max="5615" width="9.5" style="67" customWidth="1"/>
    <col min="5616" max="5616" width="10.19921875" style="67" customWidth="1"/>
    <col min="5617" max="5617" width="9" style="67" customWidth="1"/>
    <col min="5618" max="5619" width="4.19921875" style="67" customWidth="1"/>
    <col min="5620" max="5620" width="8.59765625" style="67" customWidth="1"/>
    <col min="5621" max="5621" width="4.19921875" style="67" customWidth="1"/>
    <col min="5622" max="5622" width="11.59765625" style="67" customWidth="1"/>
    <col min="5623" max="5862" width="8.69921875" style="67"/>
    <col min="5863" max="5863" width="3.8984375" style="67" customWidth="1"/>
    <col min="5864" max="5864" width="4.09765625" style="67" customWidth="1"/>
    <col min="5865" max="5865" width="19.19921875" style="67" customWidth="1"/>
    <col min="5866" max="5866" width="25.09765625" style="67" customWidth="1"/>
    <col min="5867" max="5867" width="9.3984375" style="67" customWidth="1"/>
    <col min="5868" max="5868" width="9.8984375" style="67" bestFit="1" customWidth="1"/>
    <col min="5869" max="5869" width="9.09765625" style="67" customWidth="1"/>
    <col min="5870" max="5870" width="10.69921875" style="67" customWidth="1"/>
    <col min="5871" max="5871" width="9.5" style="67" customWidth="1"/>
    <col min="5872" max="5872" width="10.19921875" style="67" customWidth="1"/>
    <col min="5873" max="5873" width="9" style="67" customWidth="1"/>
    <col min="5874" max="5875" width="4.19921875" style="67" customWidth="1"/>
    <col min="5876" max="5876" width="8.59765625" style="67" customWidth="1"/>
    <col min="5877" max="5877" width="4.19921875" style="67" customWidth="1"/>
    <col min="5878" max="5878" width="11.59765625" style="67" customWidth="1"/>
    <col min="5879" max="6118" width="8.69921875" style="67"/>
    <col min="6119" max="6119" width="3.8984375" style="67" customWidth="1"/>
    <col min="6120" max="6120" width="4.09765625" style="67" customWidth="1"/>
    <col min="6121" max="6121" width="19.19921875" style="67" customWidth="1"/>
    <col min="6122" max="6122" width="25.09765625" style="67" customWidth="1"/>
    <col min="6123" max="6123" width="9.3984375" style="67" customWidth="1"/>
    <col min="6124" max="6124" width="9.8984375" style="67" bestFit="1" customWidth="1"/>
    <col min="6125" max="6125" width="9.09765625" style="67" customWidth="1"/>
    <col min="6126" max="6126" width="10.69921875" style="67" customWidth="1"/>
    <col min="6127" max="6127" width="9.5" style="67" customWidth="1"/>
    <col min="6128" max="6128" width="10.19921875" style="67" customWidth="1"/>
    <col min="6129" max="6129" width="9" style="67" customWidth="1"/>
    <col min="6130" max="6131" width="4.19921875" style="67" customWidth="1"/>
    <col min="6132" max="6132" width="8.59765625" style="67" customWidth="1"/>
    <col min="6133" max="6133" width="4.19921875" style="67" customWidth="1"/>
    <col min="6134" max="6134" width="11.59765625" style="67" customWidth="1"/>
    <col min="6135" max="6374" width="8.69921875" style="67"/>
    <col min="6375" max="6375" width="3.8984375" style="67" customWidth="1"/>
    <col min="6376" max="6376" width="4.09765625" style="67" customWidth="1"/>
    <col min="6377" max="6377" width="19.19921875" style="67" customWidth="1"/>
    <col min="6378" max="6378" width="25.09765625" style="67" customWidth="1"/>
    <col min="6379" max="6379" width="9.3984375" style="67" customWidth="1"/>
    <col min="6380" max="6380" width="9.8984375" style="67" bestFit="1" customWidth="1"/>
    <col min="6381" max="6381" width="9.09765625" style="67" customWidth="1"/>
    <col min="6382" max="6382" width="10.69921875" style="67" customWidth="1"/>
    <col min="6383" max="6383" width="9.5" style="67" customWidth="1"/>
    <col min="6384" max="6384" width="10.19921875" style="67" customWidth="1"/>
    <col min="6385" max="6385" width="9" style="67" customWidth="1"/>
    <col min="6386" max="6387" width="4.19921875" style="67" customWidth="1"/>
    <col min="6388" max="6388" width="8.59765625" style="67" customWidth="1"/>
    <col min="6389" max="6389" width="4.19921875" style="67" customWidth="1"/>
    <col min="6390" max="6390" width="11.59765625" style="67" customWidth="1"/>
    <col min="6391" max="6630" width="8.69921875" style="67"/>
    <col min="6631" max="6631" width="3.8984375" style="67" customWidth="1"/>
    <col min="6632" max="6632" width="4.09765625" style="67" customWidth="1"/>
    <col min="6633" max="6633" width="19.19921875" style="67" customWidth="1"/>
    <col min="6634" max="6634" width="25.09765625" style="67" customWidth="1"/>
    <col min="6635" max="6635" width="9.3984375" style="67" customWidth="1"/>
    <col min="6636" max="6636" width="9.8984375" style="67" bestFit="1" customWidth="1"/>
    <col min="6637" max="6637" width="9.09765625" style="67" customWidth="1"/>
    <col min="6638" max="6638" width="10.69921875" style="67" customWidth="1"/>
    <col min="6639" max="6639" width="9.5" style="67" customWidth="1"/>
    <col min="6640" max="6640" width="10.19921875" style="67" customWidth="1"/>
    <col min="6641" max="6641" width="9" style="67" customWidth="1"/>
    <col min="6642" max="6643" width="4.19921875" style="67" customWidth="1"/>
    <col min="6644" max="6644" width="8.59765625" style="67" customWidth="1"/>
    <col min="6645" max="6645" width="4.19921875" style="67" customWidth="1"/>
    <col min="6646" max="6646" width="11.59765625" style="67" customWidth="1"/>
    <col min="6647" max="6886" width="8.69921875" style="67"/>
    <col min="6887" max="6887" width="3.8984375" style="67" customWidth="1"/>
    <col min="6888" max="6888" width="4.09765625" style="67" customWidth="1"/>
    <col min="6889" max="6889" width="19.19921875" style="67" customWidth="1"/>
    <col min="6890" max="6890" width="25.09765625" style="67" customWidth="1"/>
    <col min="6891" max="6891" width="9.3984375" style="67" customWidth="1"/>
    <col min="6892" max="6892" width="9.8984375" style="67" bestFit="1" customWidth="1"/>
    <col min="6893" max="6893" width="9.09765625" style="67" customWidth="1"/>
    <col min="6894" max="6894" width="10.69921875" style="67" customWidth="1"/>
    <col min="6895" max="6895" width="9.5" style="67" customWidth="1"/>
    <col min="6896" max="6896" width="10.19921875" style="67" customWidth="1"/>
    <col min="6897" max="6897" width="9" style="67" customWidth="1"/>
    <col min="6898" max="6899" width="4.19921875" style="67" customWidth="1"/>
    <col min="6900" max="6900" width="8.59765625" style="67" customWidth="1"/>
    <col min="6901" max="6901" width="4.19921875" style="67" customWidth="1"/>
    <col min="6902" max="6902" width="11.59765625" style="67" customWidth="1"/>
    <col min="6903" max="7142" width="8.69921875" style="67"/>
    <col min="7143" max="7143" width="3.8984375" style="67" customWidth="1"/>
    <col min="7144" max="7144" width="4.09765625" style="67" customWidth="1"/>
    <col min="7145" max="7145" width="19.19921875" style="67" customWidth="1"/>
    <col min="7146" max="7146" width="25.09765625" style="67" customWidth="1"/>
    <col min="7147" max="7147" width="9.3984375" style="67" customWidth="1"/>
    <col min="7148" max="7148" width="9.8984375" style="67" bestFit="1" customWidth="1"/>
    <col min="7149" max="7149" width="9.09765625" style="67" customWidth="1"/>
    <col min="7150" max="7150" width="10.69921875" style="67" customWidth="1"/>
    <col min="7151" max="7151" width="9.5" style="67" customWidth="1"/>
    <col min="7152" max="7152" width="10.19921875" style="67" customWidth="1"/>
    <col min="7153" max="7153" width="9" style="67" customWidth="1"/>
    <col min="7154" max="7155" width="4.19921875" style="67" customWidth="1"/>
    <col min="7156" max="7156" width="8.59765625" style="67" customWidth="1"/>
    <col min="7157" max="7157" width="4.19921875" style="67" customWidth="1"/>
    <col min="7158" max="7158" width="11.59765625" style="67" customWidth="1"/>
    <col min="7159" max="7398" width="8.69921875" style="67"/>
    <col min="7399" max="7399" width="3.8984375" style="67" customWidth="1"/>
    <col min="7400" max="7400" width="4.09765625" style="67" customWidth="1"/>
    <col min="7401" max="7401" width="19.19921875" style="67" customWidth="1"/>
    <col min="7402" max="7402" width="25.09765625" style="67" customWidth="1"/>
    <col min="7403" max="7403" width="9.3984375" style="67" customWidth="1"/>
    <col min="7404" max="7404" width="9.8984375" style="67" bestFit="1" customWidth="1"/>
    <col min="7405" max="7405" width="9.09765625" style="67" customWidth="1"/>
    <col min="7406" max="7406" width="10.69921875" style="67" customWidth="1"/>
    <col min="7407" max="7407" width="9.5" style="67" customWidth="1"/>
    <col min="7408" max="7408" width="10.19921875" style="67" customWidth="1"/>
    <col min="7409" max="7409" width="9" style="67" customWidth="1"/>
    <col min="7410" max="7411" width="4.19921875" style="67" customWidth="1"/>
    <col min="7412" max="7412" width="8.59765625" style="67" customWidth="1"/>
    <col min="7413" max="7413" width="4.19921875" style="67" customWidth="1"/>
    <col min="7414" max="7414" width="11.59765625" style="67" customWidth="1"/>
    <col min="7415" max="7654" width="8.69921875" style="67"/>
    <col min="7655" max="7655" width="3.8984375" style="67" customWidth="1"/>
    <col min="7656" max="7656" width="4.09765625" style="67" customWidth="1"/>
    <col min="7657" max="7657" width="19.19921875" style="67" customWidth="1"/>
    <col min="7658" max="7658" width="25.09765625" style="67" customWidth="1"/>
    <col min="7659" max="7659" width="9.3984375" style="67" customWidth="1"/>
    <col min="7660" max="7660" width="9.8984375" style="67" bestFit="1" customWidth="1"/>
    <col min="7661" max="7661" width="9.09765625" style="67" customWidth="1"/>
    <col min="7662" max="7662" width="10.69921875" style="67" customWidth="1"/>
    <col min="7663" max="7663" width="9.5" style="67" customWidth="1"/>
    <col min="7664" max="7664" width="10.19921875" style="67" customWidth="1"/>
    <col min="7665" max="7665" width="9" style="67" customWidth="1"/>
    <col min="7666" max="7667" width="4.19921875" style="67" customWidth="1"/>
    <col min="7668" max="7668" width="8.59765625" style="67" customWidth="1"/>
    <col min="7669" max="7669" width="4.19921875" style="67" customWidth="1"/>
    <col min="7670" max="7670" width="11.59765625" style="67" customWidth="1"/>
    <col min="7671" max="7910" width="8.69921875" style="67"/>
    <col min="7911" max="7911" width="3.8984375" style="67" customWidth="1"/>
    <col min="7912" max="7912" width="4.09765625" style="67" customWidth="1"/>
    <col min="7913" max="7913" width="19.19921875" style="67" customWidth="1"/>
    <col min="7914" max="7914" width="25.09765625" style="67" customWidth="1"/>
    <col min="7915" max="7915" width="9.3984375" style="67" customWidth="1"/>
    <col min="7916" max="7916" width="9.8984375" style="67" bestFit="1" customWidth="1"/>
    <col min="7917" max="7917" width="9.09765625" style="67" customWidth="1"/>
    <col min="7918" max="7918" width="10.69921875" style="67" customWidth="1"/>
    <col min="7919" max="7919" width="9.5" style="67" customWidth="1"/>
    <col min="7920" max="7920" width="10.19921875" style="67" customWidth="1"/>
    <col min="7921" max="7921" width="9" style="67" customWidth="1"/>
    <col min="7922" max="7923" width="4.19921875" style="67" customWidth="1"/>
    <col min="7924" max="7924" width="8.59765625" style="67" customWidth="1"/>
    <col min="7925" max="7925" width="4.19921875" style="67" customWidth="1"/>
    <col min="7926" max="7926" width="11.59765625" style="67" customWidth="1"/>
    <col min="7927" max="8166" width="8.69921875" style="67"/>
    <col min="8167" max="8167" width="3.8984375" style="67" customWidth="1"/>
    <col min="8168" max="8168" width="4.09765625" style="67" customWidth="1"/>
    <col min="8169" max="8169" width="19.19921875" style="67" customWidth="1"/>
    <col min="8170" max="8170" width="25.09765625" style="67" customWidth="1"/>
    <col min="8171" max="8171" width="9.3984375" style="67" customWidth="1"/>
    <col min="8172" max="8172" width="9.8984375" style="67" bestFit="1" customWidth="1"/>
    <col min="8173" max="8173" width="9.09765625" style="67" customWidth="1"/>
    <col min="8174" max="8174" width="10.69921875" style="67" customWidth="1"/>
    <col min="8175" max="8175" width="9.5" style="67" customWidth="1"/>
    <col min="8176" max="8176" width="10.19921875" style="67" customWidth="1"/>
    <col min="8177" max="8177" width="9" style="67" customWidth="1"/>
    <col min="8178" max="8179" width="4.19921875" style="67" customWidth="1"/>
    <col min="8180" max="8180" width="8.59765625" style="67" customWidth="1"/>
    <col min="8181" max="8181" width="4.19921875" style="67" customWidth="1"/>
    <col min="8182" max="8182" width="11.59765625" style="67" customWidth="1"/>
    <col min="8183" max="8422" width="8.69921875" style="67"/>
    <col min="8423" max="8423" width="3.8984375" style="67" customWidth="1"/>
    <col min="8424" max="8424" width="4.09765625" style="67" customWidth="1"/>
    <col min="8425" max="8425" width="19.19921875" style="67" customWidth="1"/>
    <col min="8426" max="8426" width="25.09765625" style="67" customWidth="1"/>
    <col min="8427" max="8427" width="9.3984375" style="67" customWidth="1"/>
    <col min="8428" max="8428" width="9.8984375" style="67" bestFit="1" customWidth="1"/>
    <col min="8429" max="8429" width="9.09765625" style="67" customWidth="1"/>
    <col min="8430" max="8430" width="10.69921875" style="67" customWidth="1"/>
    <col min="8431" max="8431" width="9.5" style="67" customWidth="1"/>
    <col min="8432" max="8432" width="10.19921875" style="67" customWidth="1"/>
    <col min="8433" max="8433" width="9" style="67" customWidth="1"/>
    <col min="8434" max="8435" width="4.19921875" style="67" customWidth="1"/>
    <col min="8436" max="8436" width="8.59765625" style="67" customWidth="1"/>
    <col min="8437" max="8437" width="4.19921875" style="67" customWidth="1"/>
    <col min="8438" max="8438" width="11.59765625" style="67" customWidth="1"/>
    <col min="8439" max="8678" width="8.69921875" style="67"/>
    <col min="8679" max="8679" width="3.8984375" style="67" customWidth="1"/>
    <col min="8680" max="8680" width="4.09765625" style="67" customWidth="1"/>
    <col min="8681" max="8681" width="19.19921875" style="67" customWidth="1"/>
    <col min="8682" max="8682" width="25.09765625" style="67" customWidth="1"/>
    <col min="8683" max="8683" width="9.3984375" style="67" customWidth="1"/>
    <col min="8684" max="8684" width="9.8984375" style="67" bestFit="1" customWidth="1"/>
    <col min="8685" max="8685" width="9.09765625" style="67" customWidth="1"/>
    <col min="8686" max="8686" width="10.69921875" style="67" customWidth="1"/>
    <col min="8687" max="8687" width="9.5" style="67" customWidth="1"/>
    <col min="8688" max="8688" width="10.19921875" style="67" customWidth="1"/>
    <col min="8689" max="8689" width="9" style="67" customWidth="1"/>
    <col min="8690" max="8691" width="4.19921875" style="67" customWidth="1"/>
    <col min="8692" max="8692" width="8.59765625" style="67" customWidth="1"/>
    <col min="8693" max="8693" width="4.19921875" style="67" customWidth="1"/>
    <col min="8694" max="8694" width="11.59765625" style="67" customWidth="1"/>
    <col min="8695" max="8934" width="8.69921875" style="67"/>
    <col min="8935" max="8935" width="3.8984375" style="67" customWidth="1"/>
    <col min="8936" max="8936" width="4.09765625" style="67" customWidth="1"/>
    <col min="8937" max="8937" width="19.19921875" style="67" customWidth="1"/>
    <col min="8938" max="8938" width="25.09765625" style="67" customWidth="1"/>
    <col min="8939" max="8939" width="9.3984375" style="67" customWidth="1"/>
    <col min="8940" max="8940" width="9.8984375" style="67" bestFit="1" customWidth="1"/>
    <col min="8941" max="8941" width="9.09765625" style="67" customWidth="1"/>
    <col min="8942" max="8942" width="10.69921875" style="67" customWidth="1"/>
    <col min="8943" max="8943" width="9.5" style="67" customWidth="1"/>
    <col min="8944" max="8944" width="10.19921875" style="67" customWidth="1"/>
    <col min="8945" max="8945" width="9" style="67" customWidth="1"/>
    <col min="8946" max="8947" width="4.19921875" style="67" customWidth="1"/>
    <col min="8948" max="8948" width="8.59765625" style="67" customWidth="1"/>
    <col min="8949" max="8949" width="4.19921875" style="67" customWidth="1"/>
    <col min="8950" max="8950" width="11.59765625" style="67" customWidth="1"/>
    <col min="8951" max="9190" width="8.69921875" style="67"/>
    <col min="9191" max="9191" width="3.8984375" style="67" customWidth="1"/>
    <col min="9192" max="9192" width="4.09765625" style="67" customWidth="1"/>
    <col min="9193" max="9193" width="19.19921875" style="67" customWidth="1"/>
    <col min="9194" max="9194" width="25.09765625" style="67" customWidth="1"/>
    <col min="9195" max="9195" width="9.3984375" style="67" customWidth="1"/>
    <col min="9196" max="9196" width="9.8984375" style="67" bestFit="1" customWidth="1"/>
    <col min="9197" max="9197" width="9.09765625" style="67" customWidth="1"/>
    <col min="9198" max="9198" width="10.69921875" style="67" customWidth="1"/>
    <col min="9199" max="9199" width="9.5" style="67" customWidth="1"/>
    <col min="9200" max="9200" width="10.19921875" style="67" customWidth="1"/>
    <col min="9201" max="9201" width="9" style="67" customWidth="1"/>
    <col min="9202" max="9203" width="4.19921875" style="67" customWidth="1"/>
    <col min="9204" max="9204" width="8.59765625" style="67" customWidth="1"/>
    <col min="9205" max="9205" width="4.19921875" style="67" customWidth="1"/>
    <col min="9206" max="9206" width="11.59765625" style="67" customWidth="1"/>
    <col min="9207" max="9446" width="8.69921875" style="67"/>
    <col min="9447" max="9447" width="3.8984375" style="67" customWidth="1"/>
    <col min="9448" max="9448" width="4.09765625" style="67" customWidth="1"/>
    <col min="9449" max="9449" width="19.19921875" style="67" customWidth="1"/>
    <col min="9450" max="9450" width="25.09765625" style="67" customWidth="1"/>
    <col min="9451" max="9451" width="9.3984375" style="67" customWidth="1"/>
    <col min="9452" max="9452" width="9.8984375" style="67" bestFit="1" customWidth="1"/>
    <col min="9453" max="9453" width="9.09765625" style="67" customWidth="1"/>
    <col min="9454" max="9454" width="10.69921875" style="67" customWidth="1"/>
    <col min="9455" max="9455" width="9.5" style="67" customWidth="1"/>
    <col min="9456" max="9456" width="10.19921875" style="67" customWidth="1"/>
    <col min="9457" max="9457" width="9" style="67" customWidth="1"/>
    <col min="9458" max="9459" width="4.19921875" style="67" customWidth="1"/>
    <col min="9460" max="9460" width="8.59765625" style="67" customWidth="1"/>
    <col min="9461" max="9461" width="4.19921875" style="67" customWidth="1"/>
    <col min="9462" max="9462" width="11.59765625" style="67" customWidth="1"/>
    <col min="9463" max="9702" width="8.69921875" style="67"/>
    <col min="9703" max="9703" width="3.8984375" style="67" customWidth="1"/>
    <col min="9704" max="9704" width="4.09765625" style="67" customWidth="1"/>
    <col min="9705" max="9705" width="19.19921875" style="67" customWidth="1"/>
    <col min="9706" max="9706" width="25.09765625" style="67" customWidth="1"/>
    <col min="9707" max="9707" width="9.3984375" style="67" customWidth="1"/>
    <col min="9708" max="9708" width="9.8984375" style="67" bestFit="1" customWidth="1"/>
    <col min="9709" max="9709" width="9.09765625" style="67" customWidth="1"/>
    <col min="9710" max="9710" width="10.69921875" style="67" customWidth="1"/>
    <col min="9711" max="9711" width="9.5" style="67" customWidth="1"/>
    <col min="9712" max="9712" width="10.19921875" style="67" customWidth="1"/>
    <col min="9713" max="9713" width="9" style="67" customWidth="1"/>
    <col min="9714" max="9715" width="4.19921875" style="67" customWidth="1"/>
    <col min="9716" max="9716" width="8.59765625" style="67" customWidth="1"/>
    <col min="9717" max="9717" width="4.19921875" style="67" customWidth="1"/>
    <col min="9718" max="9718" width="11.59765625" style="67" customWidth="1"/>
    <col min="9719" max="9958" width="8.69921875" style="67"/>
    <col min="9959" max="9959" width="3.8984375" style="67" customWidth="1"/>
    <col min="9960" max="9960" width="4.09765625" style="67" customWidth="1"/>
    <col min="9961" max="9961" width="19.19921875" style="67" customWidth="1"/>
    <col min="9962" max="9962" width="25.09765625" style="67" customWidth="1"/>
    <col min="9963" max="9963" width="9.3984375" style="67" customWidth="1"/>
    <col min="9964" max="9964" width="9.8984375" style="67" bestFit="1" customWidth="1"/>
    <col min="9965" max="9965" width="9.09765625" style="67" customWidth="1"/>
    <col min="9966" max="9966" width="10.69921875" style="67" customWidth="1"/>
    <col min="9967" max="9967" width="9.5" style="67" customWidth="1"/>
    <col min="9968" max="9968" width="10.19921875" style="67" customWidth="1"/>
    <col min="9969" max="9969" width="9" style="67" customWidth="1"/>
    <col min="9970" max="9971" width="4.19921875" style="67" customWidth="1"/>
    <col min="9972" max="9972" width="8.59765625" style="67" customWidth="1"/>
    <col min="9973" max="9973" width="4.19921875" style="67" customWidth="1"/>
    <col min="9974" max="9974" width="11.59765625" style="67" customWidth="1"/>
    <col min="9975" max="10214" width="8.69921875" style="67"/>
    <col min="10215" max="10215" width="3.8984375" style="67" customWidth="1"/>
    <col min="10216" max="10216" width="4.09765625" style="67" customWidth="1"/>
    <col min="10217" max="10217" width="19.19921875" style="67" customWidth="1"/>
    <col min="10218" max="10218" width="25.09765625" style="67" customWidth="1"/>
    <col min="10219" max="10219" width="9.3984375" style="67" customWidth="1"/>
    <col min="10220" max="10220" width="9.8984375" style="67" bestFit="1" customWidth="1"/>
    <col min="10221" max="10221" width="9.09765625" style="67" customWidth="1"/>
    <col min="10222" max="10222" width="10.69921875" style="67" customWidth="1"/>
    <col min="10223" max="10223" width="9.5" style="67" customWidth="1"/>
    <col min="10224" max="10224" width="10.19921875" style="67" customWidth="1"/>
    <col min="10225" max="10225" width="9" style="67" customWidth="1"/>
    <col min="10226" max="10227" width="4.19921875" style="67" customWidth="1"/>
    <col min="10228" max="10228" width="8.59765625" style="67" customWidth="1"/>
    <col min="10229" max="10229" width="4.19921875" style="67" customWidth="1"/>
    <col min="10230" max="10230" width="11.59765625" style="67" customWidth="1"/>
    <col min="10231" max="10470" width="8.69921875" style="67"/>
    <col min="10471" max="10471" width="3.8984375" style="67" customWidth="1"/>
    <col min="10472" max="10472" width="4.09765625" style="67" customWidth="1"/>
    <col min="10473" max="10473" width="19.19921875" style="67" customWidth="1"/>
    <col min="10474" max="10474" width="25.09765625" style="67" customWidth="1"/>
    <col min="10475" max="10475" width="9.3984375" style="67" customWidth="1"/>
    <col min="10476" max="10476" width="9.8984375" style="67" bestFit="1" customWidth="1"/>
    <col min="10477" max="10477" width="9.09765625" style="67" customWidth="1"/>
    <col min="10478" max="10478" width="10.69921875" style="67" customWidth="1"/>
    <col min="10479" max="10479" width="9.5" style="67" customWidth="1"/>
    <col min="10480" max="10480" width="10.19921875" style="67" customWidth="1"/>
    <col min="10481" max="10481" width="9" style="67" customWidth="1"/>
    <col min="10482" max="10483" width="4.19921875" style="67" customWidth="1"/>
    <col min="10484" max="10484" width="8.59765625" style="67" customWidth="1"/>
    <col min="10485" max="10485" width="4.19921875" style="67" customWidth="1"/>
    <col min="10486" max="10486" width="11.59765625" style="67" customWidth="1"/>
    <col min="10487" max="10726" width="8.69921875" style="67"/>
    <col min="10727" max="10727" width="3.8984375" style="67" customWidth="1"/>
    <col min="10728" max="10728" width="4.09765625" style="67" customWidth="1"/>
    <col min="10729" max="10729" width="19.19921875" style="67" customWidth="1"/>
    <col min="10730" max="10730" width="25.09765625" style="67" customWidth="1"/>
    <col min="10731" max="10731" width="9.3984375" style="67" customWidth="1"/>
    <col min="10732" max="10732" width="9.8984375" style="67" bestFit="1" customWidth="1"/>
    <col min="10733" max="10733" width="9.09765625" style="67" customWidth="1"/>
    <col min="10734" max="10734" width="10.69921875" style="67" customWidth="1"/>
    <col min="10735" max="10735" width="9.5" style="67" customWidth="1"/>
    <col min="10736" max="10736" width="10.19921875" style="67" customWidth="1"/>
    <col min="10737" max="10737" width="9" style="67" customWidth="1"/>
    <col min="10738" max="10739" width="4.19921875" style="67" customWidth="1"/>
    <col min="10740" max="10740" width="8.59765625" style="67" customWidth="1"/>
    <col min="10741" max="10741" width="4.19921875" style="67" customWidth="1"/>
    <col min="10742" max="10742" width="11.59765625" style="67" customWidth="1"/>
    <col min="10743" max="10982" width="8.69921875" style="67"/>
    <col min="10983" max="10983" width="3.8984375" style="67" customWidth="1"/>
    <col min="10984" max="10984" width="4.09765625" style="67" customWidth="1"/>
    <col min="10985" max="10985" width="19.19921875" style="67" customWidth="1"/>
    <col min="10986" max="10986" width="25.09765625" style="67" customWidth="1"/>
    <col min="10987" max="10987" width="9.3984375" style="67" customWidth="1"/>
    <col min="10988" max="10988" width="9.8984375" style="67" bestFit="1" customWidth="1"/>
    <col min="10989" max="10989" width="9.09765625" style="67" customWidth="1"/>
    <col min="10990" max="10990" width="10.69921875" style="67" customWidth="1"/>
    <col min="10991" max="10991" width="9.5" style="67" customWidth="1"/>
    <col min="10992" max="10992" width="10.19921875" style="67" customWidth="1"/>
    <col min="10993" max="10993" width="9" style="67" customWidth="1"/>
    <col min="10994" max="10995" width="4.19921875" style="67" customWidth="1"/>
    <col min="10996" max="10996" width="8.59765625" style="67" customWidth="1"/>
    <col min="10997" max="10997" width="4.19921875" style="67" customWidth="1"/>
    <col min="10998" max="10998" width="11.59765625" style="67" customWidth="1"/>
    <col min="10999" max="11238" width="8.69921875" style="67"/>
    <col min="11239" max="11239" width="3.8984375" style="67" customWidth="1"/>
    <col min="11240" max="11240" width="4.09765625" style="67" customWidth="1"/>
    <col min="11241" max="11241" width="19.19921875" style="67" customWidth="1"/>
    <col min="11242" max="11242" width="25.09765625" style="67" customWidth="1"/>
    <col min="11243" max="11243" width="9.3984375" style="67" customWidth="1"/>
    <col min="11244" max="11244" width="9.8984375" style="67" bestFit="1" customWidth="1"/>
    <col min="11245" max="11245" width="9.09765625" style="67" customWidth="1"/>
    <col min="11246" max="11246" width="10.69921875" style="67" customWidth="1"/>
    <col min="11247" max="11247" width="9.5" style="67" customWidth="1"/>
    <col min="11248" max="11248" width="10.19921875" style="67" customWidth="1"/>
    <col min="11249" max="11249" width="9" style="67" customWidth="1"/>
    <col min="11250" max="11251" width="4.19921875" style="67" customWidth="1"/>
    <col min="11252" max="11252" width="8.59765625" style="67" customWidth="1"/>
    <col min="11253" max="11253" width="4.19921875" style="67" customWidth="1"/>
    <col min="11254" max="11254" width="11.59765625" style="67" customWidth="1"/>
    <col min="11255" max="11494" width="8.69921875" style="67"/>
    <col min="11495" max="11495" width="3.8984375" style="67" customWidth="1"/>
    <col min="11496" max="11496" width="4.09765625" style="67" customWidth="1"/>
    <col min="11497" max="11497" width="19.19921875" style="67" customWidth="1"/>
    <col min="11498" max="11498" width="25.09765625" style="67" customWidth="1"/>
    <col min="11499" max="11499" width="9.3984375" style="67" customWidth="1"/>
    <col min="11500" max="11500" width="9.8984375" style="67" bestFit="1" customWidth="1"/>
    <col min="11501" max="11501" width="9.09765625" style="67" customWidth="1"/>
    <col min="11502" max="11502" width="10.69921875" style="67" customWidth="1"/>
    <col min="11503" max="11503" width="9.5" style="67" customWidth="1"/>
    <col min="11504" max="11504" width="10.19921875" style="67" customWidth="1"/>
    <col min="11505" max="11505" width="9" style="67" customWidth="1"/>
    <col min="11506" max="11507" width="4.19921875" style="67" customWidth="1"/>
    <col min="11508" max="11508" width="8.59765625" style="67" customWidth="1"/>
    <col min="11509" max="11509" width="4.19921875" style="67" customWidth="1"/>
    <col min="11510" max="11510" width="11.59765625" style="67" customWidth="1"/>
    <col min="11511" max="11750" width="8.69921875" style="67"/>
    <col min="11751" max="11751" width="3.8984375" style="67" customWidth="1"/>
    <col min="11752" max="11752" width="4.09765625" style="67" customWidth="1"/>
    <col min="11753" max="11753" width="19.19921875" style="67" customWidth="1"/>
    <col min="11754" max="11754" width="25.09765625" style="67" customWidth="1"/>
    <col min="11755" max="11755" width="9.3984375" style="67" customWidth="1"/>
    <col min="11756" max="11756" width="9.8984375" style="67" bestFit="1" customWidth="1"/>
    <col min="11757" max="11757" width="9.09765625" style="67" customWidth="1"/>
    <col min="11758" max="11758" width="10.69921875" style="67" customWidth="1"/>
    <col min="11759" max="11759" width="9.5" style="67" customWidth="1"/>
    <col min="11760" max="11760" width="10.19921875" style="67" customWidth="1"/>
    <col min="11761" max="11761" width="9" style="67" customWidth="1"/>
    <col min="11762" max="11763" width="4.19921875" style="67" customWidth="1"/>
    <col min="11764" max="11764" width="8.59765625" style="67" customWidth="1"/>
    <col min="11765" max="11765" width="4.19921875" style="67" customWidth="1"/>
    <col min="11766" max="11766" width="11.59765625" style="67" customWidth="1"/>
    <col min="11767" max="12006" width="8.69921875" style="67"/>
    <col min="12007" max="12007" width="3.8984375" style="67" customWidth="1"/>
    <col min="12008" max="12008" width="4.09765625" style="67" customWidth="1"/>
    <col min="12009" max="12009" width="19.19921875" style="67" customWidth="1"/>
    <col min="12010" max="12010" width="25.09765625" style="67" customWidth="1"/>
    <col min="12011" max="12011" width="9.3984375" style="67" customWidth="1"/>
    <col min="12012" max="12012" width="9.8984375" style="67" bestFit="1" customWidth="1"/>
    <col min="12013" max="12013" width="9.09765625" style="67" customWidth="1"/>
    <col min="12014" max="12014" width="10.69921875" style="67" customWidth="1"/>
    <col min="12015" max="12015" width="9.5" style="67" customWidth="1"/>
    <col min="12016" max="12016" width="10.19921875" style="67" customWidth="1"/>
    <col min="12017" max="12017" width="9" style="67" customWidth="1"/>
    <col min="12018" max="12019" width="4.19921875" style="67" customWidth="1"/>
    <col min="12020" max="12020" width="8.59765625" style="67" customWidth="1"/>
    <col min="12021" max="12021" width="4.19921875" style="67" customWidth="1"/>
    <col min="12022" max="12022" width="11.59765625" style="67" customWidth="1"/>
    <col min="12023" max="12262" width="8.69921875" style="67"/>
    <col min="12263" max="12263" width="3.8984375" style="67" customWidth="1"/>
    <col min="12264" max="12264" width="4.09765625" style="67" customWidth="1"/>
    <col min="12265" max="12265" width="19.19921875" style="67" customWidth="1"/>
    <col min="12266" max="12266" width="25.09765625" style="67" customWidth="1"/>
    <col min="12267" max="12267" width="9.3984375" style="67" customWidth="1"/>
    <col min="12268" max="12268" width="9.8984375" style="67" bestFit="1" customWidth="1"/>
    <col min="12269" max="12269" width="9.09765625" style="67" customWidth="1"/>
    <col min="12270" max="12270" width="10.69921875" style="67" customWidth="1"/>
    <col min="12271" max="12271" width="9.5" style="67" customWidth="1"/>
    <col min="12272" max="12272" width="10.19921875" style="67" customWidth="1"/>
    <col min="12273" max="12273" width="9" style="67" customWidth="1"/>
    <col min="12274" max="12275" width="4.19921875" style="67" customWidth="1"/>
    <col min="12276" max="12276" width="8.59765625" style="67" customWidth="1"/>
    <col min="12277" max="12277" width="4.19921875" style="67" customWidth="1"/>
    <col min="12278" max="12278" width="11.59765625" style="67" customWidth="1"/>
    <col min="12279" max="12518" width="8.69921875" style="67"/>
    <col min="12519" max="12519" width="3.8984375" style="67" customWidth="1"/>
    <col min="12520" max="12520" width="4.09765625" style="67" customWidth="1"/>
    <col min="12521" max="12521" width="19.19921875" style="67" customWidth="1"/>
    <col min="12522" max="12522" width="25.09765625" style="67" customWidth="1"/>
    <col min="12523" max="12523" width="9.3984375" style="67" customWidth="1"/>
    <col min="12524" max="12524" width="9.8984375" style="67" bestFit="1" customWidth="1"/>
    <col min="12525" max="12525" width="9.09765625" style="67" customWidth="1"/>
    <col min="12526" max="12526" width="10.69921875" style="67" customWidth="1"/>
    <col min="12527" max="12527" width="9.5" style="67" customWidth="1"/>
    <col min="12528" max="12528" width="10.19921875" style="67" customWidth="1"/>
    <col min="12529" max="12529" width="9" style="67" customWidth="1"/>
    <col min="12530" max="12531" width="4.19921875" style="67" customWidth="1"/>
    <col min="12532" max="12532" width="8.59765625" style="67" customWidth="1"/>
    <col min="12533" max="12533" width="4.19921875" style="67" customWidth="1"/>
    <col min="12534" max="12534" width="11.59765625" style="67" customWidth="1"/>
    <col min="12535" max="12774" width="8.69921875" style="67"/>
    <col min="12775" max="12775" width="3.8984375" style="67" customWidth="1"/>
    <col min="12776" max="12776" width="4.09765625" style="67" customWidth="1"/>
    <col min="12777" max="12777" width="19.19921875" style="67" customWidth="1"/>
    <col min="12778" max="12778" width="25.09765625" style="67" customWidth="1"/>
    <col min="12779" max="12779" width="9.3984375" style="67" customWidth="1"/>
    <col min="12780" max="12780" width="9.8984375" style="67" bestFit="1" customWidth="1"/>
    <col min="12781" max="12781" width="9.09765625" style="67" customWidth="1"/>
    <col min="12782" max="12782" width="10.69921875" style="67" customWidth="1"/>
    <col min="12783" max="12783" width="9.5" style="67" customWidth="1"/>
    <col min="12784" max="12784" width="10.19921875" style="67" customWidth="1"/>
    <col min="12785" max="12785" width="9" style="67" customWidth="1"/>
    <col min="12786" max="12787" width="4.19921875" style="67" customWidth="1"/>
    <col min="12788" max="12788" width="8.59765625" style="67" customWidth="1"/>
    <col min="12789" max="12789" width="4.19921875" style="67" customWidth="1"/>
    <col min="12790" max="12790" width="11.59765625" style="67" customWidth="1"/>
    <col min="12791" max="13030" width="8.69921875" style="67"/>
    <col min="13031" max="13031" width="3.8984375" style="67" customWidth="1"/>
    <col min="13032" max="13032" width="4.09765625" style="67" customWidth="1"/>
    <col min="13033" max="13033" width="19.19921875" style="67" customWidth="1"/>
    <col min="13034" max="13034" width="25.09765625" style="67" customWidth="1"/>
    <col min="13035" max="13035" width="9.3984375" style="67" customWidth="1"/>
    <col min="13036" max="13036" width="9.8984375" style="67" bestFit="1" customWidth="1"/>
    <col min="13037" max="13037" width="9.09765625" style="67" customWidth="1"/>
    <col min="13038" max="13038" width="10.69921875" style="67" customWidth="1"/>
    <col min="13039" max="13039" width="9.5" style="67" customWidth="1"/>
    <col min="13040" max="13040" width="10.19921875" style="67" customWidth="1"/>
    <col min="13041" max="13041" width="9" style="67" customWidth="1"/>
    <col min="13042" max="13043" width="4.19921875" style="67" customWidth="1"/>
    <col min="13044" max="13044" width="8.59765625" style="67" customWidth="1"/>
    <col min="13045" max="13045" width="4.19921875" style="67" customWidth="1"/>
    <col min="13046" max="13046" width="11.59765625" style="67" customWidth="1"/>
    <col min="13047" max="13286" width="8.69921875" style="67"/>
    <col min="13287" max="13287" width="3.8984375" style="67" customWidth="1"/>
    <col min="13288" max="13288" width="4.09765625" style="67" customWidth="1"/>
    <col min="13289" max="13289" width="19.19921875" style="67" customWidth="1"/>
    <col min="13290" max="13290" width="25.09765625" style="67" customWidth="1"/>
    <col min="13291" max="13291" width="9.3984375" style="67" customWidth="1"/>
    <col min="13292" max="13292" width="9.8984375" style="67" bestFit="1" customWidth="1"/>
    <col min="13293" max="13293" width="9.09765625" style="67" customWidth="1"/>
    <col min="13294" max="13294" width="10.69921875" style="67" customWidth="1"/>
    <col min="13295" max="13295" width="9.5" style="67" customWidth="1"/>
    <col min="13296" max="13296" width="10.19921875" style="67" customWidth="1"/>
    <col min="13297" max="13297" width="9" style="67" customWidth="1"/>
    <col min="13298" max="13299" width="4.19921875" style="67" customWidth="1"/>
    <col min="13300" max="13300" width="8.59765625" style="67" customWidth="1"/>
    <col min="13301" max="13301" width="4.19921875" style="67" customWidth="1"/>
    <col min="13302" max="13302" width="11.59765625" style="67" customWidth="1"/>
    <col min="13303" max="13542" width="8.69921875" style="67"/>
    <col min="13543" max="13543" width="3.8984375" style="67" customWidth="1"/>
    <col min="13544" max="13544" width="4.09765625" style="67" customWidth="1"/>
    <col min="13545" max="13545" width="19.19921875" style="67" customWidth="1"/>
    <col min="13546" max="13546" width="25.09765625" style="67" customWidth="1"/>
    <col min="13547" max="13547" width="9.3984375" style="67" customWidth="1"/>
    <col min="13548" max="13548" width="9.8984375" style="67" bestFit="1" customWidth="1"/>
    <col min="13549" max="13549" width="9.09765625" style="67" customWidth="1"/>
    <col min="13550" max="13550" width="10.69921875" style="67" customWidth="1"/>
    <col min="13551" max="13551" width="9.5" style="67" customWidth="1"/>
    <col min="13552" max="13552" width="10.19921875" style="67" customWidth="1"/>
    <col min="13553" max="13553" width="9" style="67" customWidth="1"/>
    <col min="13554" max="13555" width="4.19921875" style="67" customWidth="1"/>
    <col min="13556" max="13556" width="8.59765625" style="67" customWidth="1"/>
    <col min="13557" max="13557" width="4.19921875" style="67" customWidth="1"/>
    <col min="13558" max="13558" width="11.59765625" style="67" customWidth="1"/>
    <col min="13559" max="13798" width="8.69921875" style="67"/>
    <col min="13799" max="13799" width="3.8984375" style="67" customWidth="1"/>
    <col min="13800" max="13800" width="4.09765625" style="67" customWidth="1"/>
    <col min="13801" max="13801" width="19.19921875" style="67" customWidth="1"/>
    <col min="13802" max="13802" width="25.09765625" style="67" customWidth="1"/>
    <col min="13803" max="13803" width="9.3984375" style="67" customWidth="1"/>
    <col min="13804" max="13804" width="9.8984375" style="67" bestFit="1" customWidth="1"/>
    <col min="13805" max="13805" width="9.09765625" style="67" customWidth="1"/>
    <col min="13806" max="13806" width="10.69921875" style="67" customWidth="1"/>
    <col min="13807" max="13807" width="9.5" style="67" customWidth="1"/>
    <col min="13808" max="13808" width="10.19921875" style="67" customWidth="1"/>
    <col min="13809" max="13809" width="9" style="67" customWidth="1"/>
    <col min="13810" max="13811" width="4.19921875" style="67" customWidth="1"/>
    <col min="13812" max="13812" width="8.59765625" style="67" customWidth="1"/>
    <col min="13813" max="13813" width="4.19921875" style="67" customWidth="1"/>
    <col min="13814" max="13814" width="11.59765625" style="67" customWidth="1"/>
    <col min="13815" max="14054" width="8.69921875" style="67"/>
    <col min="14055" max="14055" width="3.8984375" style="67" customWidth="1"/>
    <col min="14056" max="14056" width="4.09765625" style="67" customWidth="1"/>
    <col min="14057" max="14057" width="19.19921875" style="67" customWidth="1"/>
    <col min="14058" max="14058" width="25.09765625" style="67" customWidth="1"/>
    <col min="14059" max="14059" width="9.3984375" style="67" customWidth="1"/>
    <col min="14060" max="14060" width="9.8984375" style="67" bestFit="1" customWidth="1"/>
    <col min="14061" max="14061" width="9.09765625" style="67" customWidth="1"/>
    <col min="14062" max="14062" width="10.69921875" style="67" customWidth="1"/>
    <col min="14063" max="14063" width="9.5" style="67" customWidth="1"/>
    <col min="14064" max="14064" width="10.19921875" style="67" customWidth="1"/>
    <col min="14065" max="14065" width="9" style="67" customWidth="1"/>
    <col min="14066" max="14067" width="4.19921875" style="67" customWidth="1"/>
    <col min="14068" max="14068" width="8.59765625" style="67" customWidth="1"/>
    <col min="14069" max="14069" width="4.19921875" style="67" customWidth="1"/>
    <col min="14070" max="14070" width="11.59765625" style="67" customWidth="1"/>
    <col min="14071" max="14310" width="8.69921875" style="67"/>
    <col min="14311" max="14311" width="3.8984375" style="67" customWidth="1"/>
    <col min="14312" max="14312" width="4.09765625" style="67" customWidth="1"/>
    <col min="14313" max="14313" width="19.19921875" style="67" customWidth="1"/>
    <col min="14314" max="14314" width="25.09765625" style="67" customWidth="1"/>
    <col min="14315" max="14315" width="9.3984375" style="67" customWidth="1"/>
    <col min="14316" max="14316" width="9.8984375" style="67" bestFit="1" customWidth="1"/>
    <col min="14317" max="14317" width="9.09765625" style="67" customWidth="1"/>
    <col min="14318" max="14318" width="10.69921875" style="67" customWidth="1"/>
    <col min="14319" max="14319" width="9.5" style="67" customWidth="1"/>
    <col min="14320" max="14320" width="10.19921875" style="67" customWidth="1"/>
    <col min="14321" max="14321" width="9" style="67" customWidth="1"/>
    <col min="14322" max="14323" width="4.19921875" style="67" customWidth="1"/>
    <col min="14324" max="14324" width="8.59765625" style="67" customWidth="1"/>
    <col min="14325" max="14325" width="4.19921875" style="67" customWidth="1"/>
    <col min="14326" max="14326" width="11.59765625" style="67" customWidth="1"/>
    <col min="14327" max="14566" width="8.69921875" style="67"/>
    <col min="14567" max="14567" width="3.8984375" style="67" customWidth="1"/>
    <col min="14568" max="14568" width="4.09765625" style="67" customWidth="1"/>
    <col min="14569" max="14569" width="19.19921875" style="67" customWidth="1"/>
    <col min="14570" max="14570" width="25.09765625" style="67" customWidth="1"/>
    <col min="14571" max="14571" width="9.3984375" style="67" customWidth="1"/>
    <col min="14572" max="14572" width="9.8984375" style="67" bestFit="1" customWidth="1"/>
    <col min="14573" max="14573" width="9.09765625" style="67" customWidth="1"/>
    <col min="14574" max="14574" width="10.69921875" style="67" customWidth="1"/>
    <col min="14575" max="14575" width="9.5" style="67" customWidth="1"/>
    <col min="14576" max="14576" width="10.19921875" style="67" customWidth="1"/>
    <col min="14577" max="14577" width="9" style="67" customWidth="1"/>
    <col min="14578" max="14579" width="4.19921875" style="67" customWidth="1"/>
    <col min="14580" max="14580" width="8.59765625" style="67" customWidth="1"/>
    <col min="14581" max="14581" width="4.19921875" style="67" customWidth="1"/>
    <col min="14582" max="14582" width="11.59765625" style="67" customWidth="1"/>
    <col min="14583" max="14822" width="8.69921875" style="67"/>
    <col min="14823" max="14823" width="3.8984375" style="67" customWidth="1"/>
    <col min="14824" max="14824" width="4.09765625" style="67" customWidth="1"/>
    <col min="14825" max="14825" width="19.19921875" style="67" customWidth="1"/>
    <col min="14826" max="14826" width="25.09765625" style="67" customWidth="1"/>
    <col min="14827" max="14827" width="9.3984375" style="67" customWidth="1"/>
    <col min="14828" max="14828" width="9.8984375" style="67" bestFit="1" customWidth="1"/>
    <col min="14829" max="14829" width="9.09765625" style="67" customWidth="1"/>
    <col min="14830" max="14830" width="10.69921875" style="67" customWidth="1"/>
    <col min="14831" max="14831" width="9.5" style="67" customWidth="1"/>
    <col min="14832" max="14832" width="10.19921875" style="67" customWidth="1"/>
    <col min="14833" max="14833" width="9" style="67" customWidth="1"/>
    <col min="14834" max="14835" width="4.19921875" style="67" customWidth="1"/>
    <col min="14836" max="14836" width="8.59765625" style="67" customWidth="1"/>
    <col min="14837" max="14837" width="4.19921875" style="67" customWidth="1"/>
    <col min="14838" max="14838" width="11.59765625" style="67" customWidth="1"/>
    <col min="14839" max="15078" width="8.69921875" style="67"/>
    <col min="15079" max="15079" width="3.8984375" style="67" customWidth="1"/>
    <col min="15080" max="15080" width="4.09765625" style="67" customWidth="1"/>
    <col min="15081" max="15081" width="19.19921875" style="67" customWidth="1"/>
    <col min="15082" max="15082" width="25.09765625" style="67" customWidth="1"/>
    <col min="15083" max="15083" width="9.3984375" style="67" customWidth="1"/>
    <col min="15084" max="15084" width="9.8984375" style="67" bestFit="1" customWidth="1"/>
    <col min="15085" max="15085" width="9.09765625" style="67" customWidth="1"/>
    <col min="15086" max="15086" width="10.69921875" style="67" customWidth="1"/>
    <col min="15087" max="15087" width="9.5" style="67" customWidth="1"/>
    <col min="15088" max="15088" width="10.19921875" style="67" customWidth="1"/>
    <col min="15089" max="15089" width="9" style="67" customWidth="1"/>
    <col min="15090" max="15091" width="4.19921875" style="67" customWidth="1"/>
    <col min="15092" max="15092" width="8.59765625" style="67" customWidth="1"/>
    <col min="15093" max="15093" width="4.19921875" style="67" customWidth="1"/>
    <col min="15094" max="15094" width="11.59765625" style="67" customWidth="1"/>
    <col min="15095" max="15334" width="8.69921875" style="67"/>
    <col min="15335" max="15335" width="3.8984375" style="67" customWidth="1"/>
    <col min="15336" max="15336" width="4.09765625" style="67" customWidth="1"/>
    <col min="15337" max="15337" width="19.19921875" style="67" customWidth="1"/>
    <col min="15338" max="15338" width="25.09765625" style="67" customWidth="1"/>
    <col min="15339" max="15339" width="9.3984375" style="67" customWidth="1"/>
    <col min="15340" max="15340" width="9.8984375" style="67" bestFit="1" customWidth="1"/>
    <col min="15341" max="15341" width="9.09765625" style="67" customWidth="1"/>
    <col min="15342" max="15342" width="10.69921875" style="67" customWidth="1"/>
    <col min="15343" max="15343" width="9.5" style="67" customWidth="1"/>
    <col min="15344" max="15344" width="10.19921875" style="67" customWidth="1"/>
    <col min="15345" max="15345" width="9" style="67" customWidth="1"/>
    <col min="15346" max="15347" width="4.19921875" style="67" customWidth="1"/>
    <col min="15348" max="15348" width="8.59765625" style="67" customWidth="1"/>
    <col min="15349" max="15349" width="4.19921875" style="67" customWidth="1"/>
    <col min="15350" max="15350" width="11.59765625" style="67" customWidth="1"/>
    <col min="15351" max="15590" width="8.69921875" style="67"/>
    <col min="15591" max="15591" width="3.8984375" style="67" customWidth="1"/>
    <col min="15592" max="15592" width="4.09765625" style="67" customWidth="1"/>
    <col min="15593" max="15593" width="19.19921875" style="67" customWidth="1"/>
    <col min="15594" max="15594" width="25.09765625" style="67" customWidth="1"/>
    <col min="15595" max="15595" width="9.3984375" style="67" customWidth="1"/>
    <col min="15596" max="15596" width="9.8984375" style="67" bestFit="1" customWidth="1"/>
    <col min="15597" max="15597" width="9.09765625" style="67" customWidth="1"/>
    <col min="15598" max="15598" width="10.69921875" style="67" customWidth="1"/>
    <col min="15599" max="15599" width="9.5" style="67" customWidth="1"/>
    <col min="15600" max="15600" width="10.19921875" style="67" customWidth="1"/>
    <col min="15601" max="15601" width="9" style="67" customWidth="1"/>
    <col min="15602" max="15603" width="4.19921875" style="67" customWidth="1"/>
    <col min="15604" max="15604" width="8.59765625" style="67" customWidth="1"/>
    <col min="15605" max="15605" width="4.19921875" style="67" customWidth="1"/>
    <col min="15606" max="15606" width="11.59765625" style="67" customWidth="1"/>
    <col min="15607" max="15846" width="8.69921875" style="67"/>
    <col min="15847" max="15847" width="3.8984375" style="67" customWidth="1"/>
    <col min="15848" max="15848" width="4.09765625" style="67" customWidth="1"/>
    <col min="15849" max="15849" width="19.19921875" style="67" customWidth="1"/>
    <col min="15850" max="15850" width="25.09765625" style="67" customWidth="1"/>
    <col min="15851" max="15851" width="9.3984375" style="67" customWidth="1"/>
    <col min="15852" max="15852" width="9.8984375" style="67" bestFit="1" customWidth="1"/>
    <col min="15853" max="15853" width="9.09765625" style="67" customWidth="1"/>
    <col min="15854" max="15854" width="10.69921875" style="67" customWidth="1"/>
    <col min="15855" max="15855" width="9.5" style="67" customWidth="1"/>
    <col min="15856" max="15856" width="10.19921875" style="67" customWidth="1"/>
    <col min="15857" max="15857" width="9" style="67" customWidth="1"/>
    <col min="15858" max="15859" width="4.19921875" style="67" customWidth="1"/>
    <col min="15860" max="15860" width="8.59765625" style="67" customWidth="1"/>
    <col min="15861" max="15861" width="4.19921875" style="67" customWidth="1"/>
    <col min="15862" max="15862" width="11.59765625" style="67" customWidth="1"/>
    <col min="15863" max="16102" width="8.69921875" style="67"/>
    <col min="16103" max="16103" width="3.8984375" style="67" customWidth="1"/>
    <col min="16104" max="16104" width="4.09765625" style="67" customWidth="1"/>
    <col min="16105" max="16105" width="19.19921875" style="67" customWidth="1"/>
    <col min="16106" max="16106" width="25.09765625" style="67" customWidth="1"/>
    <col min="16107" max="16107" width="9.3984375" style="67" customWidth="1"/>
    <col min="16108" max="16108" width="9.8984375" style="67" bestFit="1" customWidth="1"/>
    <col min="16109" max="16109" width="9.09765625" style="67" customWidth="1"/>
    <col min="16110" max="16110" width="10.69921875" style="67" customWidth="1"/>
    <col min="16111" max="16111" width="9.5" style="67" customWidth="1"/>
    <col min="16112" max="16112" width="10.19921875" style="67" customWidth="1"/>
    <col min="16113" max="16113" width="9" style="67" customWidth="1"/>
    <col min="16114" max="16115" width="4.19921875" style="67" customWidth="1"/>
    <col min="16116" max="16116" width="8.59765625" style="67" customWidth="1"/>
    <col min="16117" max="16117" width="4.19921875" style="67" customWidth="1"/>
    <col min="16118" max="16118" width="11.59765625" style="67" customWidth="1"/>
    <col min="16119" max="16359" width="8.69921875" style="67"/>
    <col min="16360" max="16384" width="8.69921875" style="67" customWidth="1"/>
  </cols>
  <sheetData>
    <row r="1" spans="1:5" x14ac:dyDescent="0.25">
      <c r="A1" s="280" t="s">
        <v>168</v>
      </c>
      <c r="B1" s="280"/>
      <c r="C1" s="67" t="s">
        <v>169</v>
      </c>
      <c r="D1" s="130" t="str">
        <f>DG!H1</f>
        <v>22/2023</v>
      </c>
    </row>
    <row r="2" spans="1:5" ht="11.1" customHeight="1" x14ac:dyDescent="0.25">
      <c r="A2" s="281" t="s">
        <v>170</v>
      </c>
      <c r="B2" s="281"/>
    </row>
    <row r="3" spans="1:5" ht="11.1" customHeight="1" x14ac:dyDescent="0.25">
      <c r="A3" s="282"/>
      <c r="B3" s="282"/>
      <c r="C3" s="282"/>
      <c r="D3" s="282"/>
    </row>
    <row r="4" spans="1:5" s="130" customFormat="1" x14ac:dyDescent="0.25">
      <c r="A4" s="284" t="str">
        <f>DG!A5</f>
        <v>Modernizare si integrare in SCADA statii de transformare  din gestiunea Delgaz Grid – Etapa 4</v>
      </c>
      <c r="B4" s="284"/>
      <c r="C4" s="284"/>
      <c r="D4" s="284"/>
    </row>
    <row r="5" spans="1:5" s="130" customFormat="1" x14ac:dyDescent="0.25">
      <c r="A5" s="131"/>
      <c r="B5" s="131"/>
      <c r="C5" s="131"/>
      <c r="D5" s="131"/>
    </row>
    <row r="6" spans="1:5" ht="11.1" customHeight="1" x14ac:dyDescent="0.25">
      <c r="B6" s="280" t="s">
        <v>171</v>
      </c>
      <c r="C6" s="280"/>
      <c r="D6" s="280"/>
    </row>
    <row r="7" spans="1:5" ht="11.1" customHeight="1" x14ac:dyDescent="0.25">
      <c r="B7" s="129"/>
      <c r="C7" s="129"/>
      <c r="D7" s="129"/>
    </row>
    <row r="8" spans="1:5" ht="11.1" customHeight="1" x14ac:dyDescent="0.25">
      <c r="B8" s="129" t="str">
        <f>DG!D87</f>
        <v>Statia 110/20 kV Mirauti, jud. SV</v>
      </c>
      <c r="C8" s="129"/>
      <c r="D8" s="129"/>
    </row>
    <row r="9" spans="1:5" ht="14.25" customHeight="1" x14ac:dyDescent="0.25">
      <c r="A9" s="275"/>
      <c r="B9" s="275"/>
      <c r="C9" s="206" t="str">
        <f>DG!H7</f>
        <v>Scenariul 1</v>
      </c>
      <c r="D9" s="206"/>
    </row>
    <row r="10" spans="1:5" ht="48.6" customHeight="1" x14ac:dyDescent="0.25">
      <c r="A10" s="278" t="s">
        <v>172</v>
      </c>
      <c r="B10" s="276" t="s">
        <v>173</v>
      </c>
      <c r="C10" s="132" t="s">
        <v>174</v>
      </c>
      <c r="D10" s="119" t="s">
        <v>175</v>
      </c>
    </row>
    <row r="11" spans="1:5" ht="11.1" customHeight="1" x14ac:dyDescent="0.25">
      <c r="A11" s="279"/>
      <c r="B11" s="277"/>
      <c r="C11" s="84" t="s">
        <v>17</v>
      </c>
      <c r="D11" s="84" t="s">
        <v>17</v>
      </c>
      <c r="E11" s="120"/>
    </row>
    <row r="12" spans="1:5" ht="11.1" customHeight="1" x14ac:dyDescent="0.25">
      <c r="A12" s="84">
        <v>1</v>
      </c>
      <c r="B12" s="121">
        <v>2</v>
      </c>
      <c r="C12" s="84">
        <v>3</v>
      </c>
      <c r="D12" s="84">
        <v>4</v>
      </c>
    </row>
    <row r="13" spans="1:5" ht="11.1" customHeight="1" x14ac:dyDescent="0.25">
      <c r="A13" s="100">
        <v>1</v>
      </c>
      <c r="B13" s="101" t="s">
        <v>176</v>
      </c>
      <c r="C13" s="102">
        <f>C14+C15+C44+C47</f>
        <v>0</v>
      </c>
      <c r="D13" s="102">
        <f>D14+D15+D44+D47</f>
        <v>0</v>
      </c>
    </row>
    <row r="14" spans="1:5" ht="11.1" customHeight="1" x14ac:dyDescent="0.25">
      <c r="A14" s="91" t="s">
        <v>21</v>
      </c>
      <c r="B14" s="92" t="s">
        <v>22</v>
      </c>
      <c r="C14" s="71">
        <v>0</v>
      </c>
      <c r="D14" s="71">
        <f>C14</f>
        <v>0</v>
      </c>
    </row>
    <row r="15" spans="1:5" ht="11.1" customHeight="1" x14ac:dyDescent="0.25">
      <c r="A15" s="93" t="s">
        <v>23</v>
      </c>
      <c r="B15" s="92" t="s">
        <v>24</v>
      </c>
      <c r="C15" s="68">
        <f>SUM(C17:C43)</f>
        <v>0</v>
      </c>
      <c r="D15" s="68">
        <f>SUM(D17:D43)</f>
        <v>0</v>
      </c>
    </row>
    <row r="16" spans="1:5" x14ac:dyDescent="0.25">
      <c r="A16" s="109" t="s">
        <v>735</v>
      </c>
      <c r="B16" s="70" t="str">
        <f>B8</f>
        <v>Statia 110/20 kV Mirauti, jud. SV</v>
      </c>
      <c r="C16" s="66"/>
      <c r="D16" s="66"/>
    </row>
    <row r="17" spans="1:8" x14ac:dyDescent="0.25">
      <c r="A17" s="174" t="s">
        <v>1289</v>
      </c>
      <c r="B17" s="147" t="s">
        <v>334</v>
      </c>
      <c r="C17" s="148">
        <v>0</v>
      </c>
      <c r="D17" s="149">
        <f>C17</f>
        <v>0</v>
      </c>
      <c r="E17" s="137" t="s">
        <v>677</v>
      </c>
      <c r="G17" s="137" t="s">
        <v>677</v>
      </c>
      <c r="H17" s="133">
        <f>C17+C18+C19+C20+C21+C22+C23+C24+C28+C29+C31</f>
        <v>0</v>
      </c>
    </row>
    <row r="18" spans="1:8" ht="11.1" customHeight="1" x14ac:dyDescent="0.25">
      <c r="A18" s="174" t="s">
        <v>1290</v>
      </c>
      <c r="B18" s="147" t="s">
        <v>336</v>
      </c>
      <c r="C18" s="148">
        <v>0</v>
      </c>
      <c r="D18" s="149">
        <f t="shared" ref="D18:D29" si="0">C18</f>
        <v>0</v>
      </c>
      <c r="E18" s="137" t="s">
        <v>677</v>
      </c>
      <c r="G18" s="138" t="s">
        <v>678</v>
      </c>
      <c r="H18" s="164">
        <f>C32+C35+C39</f>
        <v>0</v>
      </c>
    </row>
    <row r="19" spans="1:8" ht="11.1" customHeight="1" x14ac:dyDescent="0.25">
      <c r="A19" s="174" t="s">
        <v>1291</v>
      </c>
      <c r="B19" s="147" t="s">
        <v>338</v>
      </c>
      <c r="C19" s="148">
        <v>0</v>
      </c>
      <c r="D19" s="149">
        <f t="shared" si="0"/>
        <v>0</v>
      </c>
      <c r="E19" s="137" t="s">
        <v>677</v>
      </c>
      <c r="G19" s="139" t="s">
        <v>679</v>
      </c>
      <c r="H19" s="133">
        <f>SUM(C25:C27)+SUM(C33:C34)+C36</f>
        <v>0</v>
      </c>
    </row>
    <row r="20" spans="1:8" ht="11.1" customHeight="1" x14ac:dyDescent="0.25">
      <c r="A20" s="174" t="s">
        <v>1292</v>
      </c>
      <c r="B20" s="147" t="s">
        <v>340</v>
      </c>
      <c r="C20" s="148">
        <v>0</v>
      </c>
      <c r="D20" s="149">
        <f t="shared" si="0"/>
        <v>0</v>
      </c>
      <c r="E20" s="137" t="s">
        <v>677</v>
      </c>
      <c r="G20" s="140" t="s">
        <v>680</v>
      </c>
      <c r="H20" s="133">
        <f>C30+SUM(C37:C38)+SUM(C40:C43)</f>
        <v>0</v>
      </c>
    </row>
    <row r="21" spans="1:8" ht="11.1" customHeight="1" x14ac:dyDescent="0.25">
      <c r="A21" s="174" t="s">
        <v>1293</v>
      </c>
      <c r="B21" s="147" t="s">
        <v>342</v>
      </c>
      <c r="C21" s="148">
        <v>0</v>
      </c>
      <c r="D21" s="149">
        <f t="shared" si="0"/>
        <v>0</v>
      </c>
      <c r="E21" s="137" t="s">
        <v>677</v>
      </c>
      <c r="H21" s="164"/>
    </row>
    <row r="22" spans="1:8" ht="11.1" customHeight="1" x14ac:dyDescent="0.25">
      <c r="A22" s="174" t="s">
        <v>1294</v>
      </c>
      <c r="B22" s="147" t="s">
        <v>344</v>
      </c>
      <c r="C22" s="148">
        <v>0</v>
      </c>
      <c r="D22" s="149">
        <f t="shared" si="0"/>
        <v>0</v>
      </c>
      <c r="E22" s="137" t="s">
        <v>677</v>
      </c>
      <c r="H22" s="169">
        <f>C15-H17-H18-H19-H20</f>
        <v>0</v>
      </c>
    </row>
    <row r="23" spans="1:8" ht="11.1" customHeight="1" x14ac:dyDescent="0.25">
      <c r="A23" s="174" t="s">
        <v>1295</v>
      </c>
      <c r="B23" s="147" t="s">
        <v>345</v>
      </c>
      <c r="C23" s="148">
        <v>0</v>
      </c>
      <c r="D23" s="149">
        <f t="shared" si="0"/>
        <v>0</v>
      </c>
      <c r="E23" s="137" t="s">
        <v>677</v>
      </c>
    </row>
    <row r="24" spans="1:8" ht="11.1" customHeight="1" x14ac:dyDescent="0.25">
      <c r="A24" s="174" t="s">
        <v>1296</v>
      </c>
      <c r="B24" s="147" t="s">
        <v>346</v>
      </c>
      <c r="C24" s="148">
        <v>0</v>
      </c>
      <c r="D24" s="149">
        <f t="shared" si="0"/>
        <v>0</v>
      </c>
      <c r="E24" s="137" t="s">
        <v>677</v>
      </c>
    </row>
    <row r="25" spans="1:8" ht="11.1" customHeight="1" x14ac:dyDescent="0.25">
      <c r="A25" s="175" t="s">
        <v>1297</v>
      </c>
      <c r="B25" s="155" t="s">
        <v>1303</v>
      </c>
      <c r="C25" s="156">
        <v>0</v>
      </c>
      <c r="D25" s="157">
        <f t="shared" si="0"/>
        <v>0</v>
      </c>
      <c r="E25" s="139" t="s">
        <v>679</v>
      </c>
    </row>
    <row r="26" spans="1:8" ht="11.1" customHeight="1" x14ac:dyDescent="0.25">
      <c r="A26" s="175" t="s">
        <v>1298</v>
      </c>
      <c r="B26" s="155" t="s">
        <v>884</v>
      </c>
      <c r="C26" s="156">
        <v>0</v>
      </c>
      <c r="D26" s="157">
        <f t="shared" si="0"/>
        <v>0</v>
      </c>
      <c r="E26" s="139" t="s">
        <v>679</v>
      </c>
    </row>
    <row r="27" spans="1:8" ht="11.1" customHeight="1" x14ac:dyDescent="0.25">
      <c r="A27" s="175" t="s">
        <v>1299</v>
      </c>
      <c r="B27" s="155" t="s">
        <v>348</v>
      </c>
      <c r="C27" s="156">
        <v>0</v>
      </c>
      <c r="D27" s="157">
        <f t="shared" si="0"/>
        <v>0</v>
      </c>
      <c r="E27" s="139" t="s">
        <v>679</v>
      </c>
    </row>
    <row r="28" spans="1:8" ht="11.1" customHeight="1" x14ac:dyDescent="0.25">
      <c r="A28" s="174" t="s">
        <v>1300</v>
      </c>
      <c r="B28" s="147" t="s">
        <v>349</v>
      </c>
      <c r="C28" s="148">
        <v>0</v>
      </c>
      <c r="D28" s="149">
        <f t="shared" si="0"/>
        <v>0</v>
      </c>
      <c r="E28" s="137" t="s">
        <v>677</v>
      </c>
    </row>
    <row r="29" spans="1:8" ht="11.1" customHeight="1" x14ac:dyDescent="0.25">
      <c r="A29" s="174" t="s">
        <v>1301</v>
      </c>
      <c r="B29" s="147" t="s">
        <v>350</v>
      </c>
      <c r="C29" s="148">
        <v>0</v>
      </c>
      <c r="D29" s="149">
        <f t="shared" si="0"/>
        <v>0</v>
      </c>
      <c r="E29" s="137" t="s">
        <v>677</v>
      </c>
    </row>
    <row r="30" spans="1:8" ht="11.1" customHeight="1" x14ac:dyDescent="0.25">
      <c r="A30" s="198" t="s">
        <v>1302</v>
      </c>
      <c r="B30" s="191" t="s">
        <v>351</v>
      </c>
      <c r="C30" s="188">
        <v>0</v>
      </c>
      <c r="D30" s="189">
        <f t="shared" ref="D30:D44" si="1">C30</f>
        <v>0</v>
      </c>
      <c r="E30" s="140" t="s">
        <v>680</v>
      </c>
    </row>
    <row r="31" spans="1:8" ht="11.1" customHeight="1" x14ac:dyDescent="0.25">
      <c r="A31" s="146" t="s">
        <v>1858</v>
      </c>
      <c r="B31" s="147" t="s">
        <v>1348</v>
      </c>
      <c r="C31" s="148">
        <v>0</v>
      </c>
      <c r="D31" s="149">
        <f t="shared" si="1"/>
        <v>0</v>
      </c>
      <c r="E31" s="137" t="s">
        <v>677</v>
      </c>
    </row>
    <row r="32" spans="1:8" ht="11.1" customHeight="1" x14ac:dyDescent="0.25">
      <c r="A32" s="150" t="s">
        <v>1859</v>
      </c>
      <c r="B32" s="151" t="s">
        <v>1349</v>
      </c>
      <c r="C32" s="152">
        <v>0</v>
      </c>
      <c r="D32" s="153">
        <f t="shared" si="1"/>
        <v>0</v>
      </c>
      <c r="E32" s="138" t="s">
        <v>678</v>
      </c>
    </row>
    <row r="33" spans="1:5" ht="11.1" customHeight="1" x14ac:dyDescent="0.25">
      <c r="A33" s="154" t="s">
        <v>1860</v>
      </c>
      <c r="B33" s="155" t="s">
        <v>357</v>
      </c>
      <c r="C33" s="156">
        <v>0</v>
      </c>
      <c r="D33" s="157">
        <f t="shared" si="1"/>
        <v>0</v>
      </c>
      <c r="E33" s="139" t="s">
        <v>679</v>
      </c>
    </row>
    <row r="34" spans="1:5" ht="11.1" customHeight="1" x14ac:dyDescent="0.25">
      <c r="A34" s="154" t="s">
        <v>1861</v>
      </c>
      <c r="B34" s="155" t="s">
        <v>1350</v>
      </c>
      <c r="C34" s="156">
        <v>0</v>
      </c>
      <c r="D34" s="157">
        <f t="shared" si="1"/>
        <v>0</v>
      </c>
      <c r="E34" s="139" t="s">
        <v>679</v>
      </c>
    </row>
    <row r="35" spans="1:5" ht="11.1" customHeight="1" x14ac:dyDescent="0.25">
      <c r="A35" s="150" t="s">
        <v>1862</v>
      </c>
      <c r="B35" s="151" t="s">
        <v>371</v>
      </c>
      <c r="C35" s="152">
        <v>0</v>
      </c>
      <c r="D35" s="153">
        <f t="shared" si="1"/>
        <v>0</v>
      </c>
      <c r="E35" s="138" t="s">
        <v>678</v>
      </c>
    </row>
    <row r="36" spans="1:5" ht="11.1" customHeight="1" x14ac:dyDescent="0.25">
      <c r="A36" s="154" t="s">
        <v>1863</v>
      </c>
      <c r="B36" s="155" t="s">
        <v>361</v>
      </c>
      <c r="C36" s="156">
        <v>0</v>
      </c>
      <c r="D36" s="157">
        <f t="shared" si="1"/>
        <v>0</v>
      </c>
      <c r="E36" s="139" t="s">
        <v>679</v>
      </c>
    </row>
    <row r="37" spans="1:5" ht="11.1" customHeight="1" x14ac:dyDescent="0.25">
      <c r="A37" s="190" t="s">
        <v>1864</v>
      </c>
      <c r="B37" s="191" t="s">
        <v>363</v>
      </c>
      <c r="C37" s="188">
        <v>0</v>
      </c>
      <c r="D37" s="189">
        <f t="shared" si="1"/>
        <v>0</v>
      </c>
      <c r="E37" s="140" t="s">
        <v>680</v>
      </c>
    </row>
    <row r="38" spans="1:5" ht="11.1" customHeight="1" x14ac:dyDescent="0.25">
      <c r="A38" s="190" t="s">
        <v>1865</v>
      </c>
      <c r="B38" s="191" t="s">
        <v>1351</v>
      </c>
      <c r="C38" s="188">
        <v>0</v>
      </c>
      <c r="D38" s="189">
        <f t="shared" si="1"/>
        <v>0</v>
      </c>
      <c r="E38" s="140" t="s">
        <v>680</v>
      </c>
    </row>
    <row r="39" spans="1:5" ht="11.1" customHeight="1" x14ac:dyDescent="0.25">
      <c r="A39" s="150" t="s">
        <v>1866</v>
      </c>
      <c r="B39" s="151" t="s">
        <v>373</v>
      </c>
      <c r="C39" s="152">
        <v>0</v>
      </c>
      <c r="D39" s="153">
        <f t="shared" si="1"/>
        <v>0</v>
      </c>
      <c r="E39" s="138" t="s">
        <v>678</v>
      </c>
    </row>
    <row r="40" spans="1:5" ht="11.1" customHeight="1" x14ac:dyDescent="0.25">
      <c r="A40" s="190" t="s">
        <v>1867</v>
      </c>
      <c r="B40" s="191" t="s">
        <v>375</v>
      </c>
      <c r="C40" s="188">
        <v>0</v>
      </c>
      <c r="D40" s="189">
        <f t="shared" si="1"/>
        <v>0</v>
      </c>
      <c r="E40" s="140" t="s">
        <v>680</v>
      </c>
    </row>
    <row r="41" spans="1:5" ht="11.1" customHeight="1" x14ac:dyDescent="0.25">
      <c r="A41" s="190" t="s">
        <v>1868</v>
      </c>
      <c r="B41" s="191" t="s">
        <v>377</v>
      </c>
      <c r="C41" s="188">
        <v>0</v>
      </c>
      <c r="D41" s="189">
        <f t="shared" si="1"/>
        <v>0</v>
      </c>
      <c r="E41" s="140" t="s">
        <v>680</v>
      </c>
    </row>
    <row r="42" spans="1:5" ht="11.1" customHeight="1" x14ac:dyDescent="0.25">
      <c r="A42" s="190" t="s">
        <v>1869</v>
      </c>
      <c r="B42" s="191" t="s">
        <v>379</v>
      </c>
      <c r="C42" s="188">
        <v>0</v>
      </c>
      <c r="D42" s="189">
        <f t="shared" si="1"/>
        <v>0</v>
      </c>
      <c r="E42" s="140" t="s">
        <v>680</v>
      </c>
    </row>
    <row r="43" spans="1:5" ht="11.1" customHeight="1" x14ac:dyDescent="0.25">
      <c r="A43" s="190" t="s">
        <v>1870</v>
      </c>
      <c r="B43" s="191" t="s">
        <v>381</v>
      </c>
      <c r="C43" s="188">
        <v>0</v>
      </c>
      <c r="D43" s="189">
        <f t="shared" si="1"/>
        <v>0</v>
      </c>
      <c r="E43" s="140" t="s">
        <v>680</v>
      </c>
    </row>
    <row r="44" spans="1:5" x14ac:dyDescent="0.25">
      <c r="A44" s="94" t="s">
        <v>39</v>
      </c>
      <c r="B44" s="95" t="s">
        <v>185</v>
      </c>
      <c r="C44" s="96">
        <f>C46</f>
        <v>0</v>
      </c>
      <c r="D44" s="97">
        <f t="shared" si="1"/>
        <v>0</v>
      </c>
    </row>
    <row r="45" spans="1:5" ht="11.1" customHeight="1" x14ac:dyDescent="0.25">
      <c r="A45" s="109" t="s">
        <v>740</v>
      </c>
      <c r="B45" s="75" t="str">
        <f>B8</f>
        <v>Statia 110/20 kV Mirauti, jud. SV</v>
      </c>
      <c r="C45" s="89"/>
      <c r="D45" s="66"/>
    </row>
    <row r="46" spans="1:5" s="76" customFormat="1" ht="11.1" customHeight="1" x14ac:dyDescent="0.25">
      <c r="A46" s="109" t="s">
        <v>1304</v>
      </c>
      <c r="B46" s="82" t="s">
        <v>352</v>
      </c>
      <c r="C46" s="118">
        <v>0</v>
      </c>
      <c r="D46" s="66">
        <f>C46</f>
        <v>0</v>
      </c>
    </row>
    <row r="47" spans="1:5" ht="11.1" customHeight="1" x14ac:dyDescent="0.25">
      <c r="A47" s="94" t="s">
        <v>187</v>
      </c>
      <c r="B47" s="98" t="s">
        <v>48</v>
      </c>
      <c r="C47" s="96">
        <v>0</v>
      </c>
      <c r="D47" s="71">
        <v>0</v>
      </c>
    </row>
    <row r="48" spans="1:5" x14ac:dyDescent="0.25">
      <c r="A48" s="103" t="s">
        <v>188</v>
      </c>
      <c r="B48" s="104" t="s">
        <v>189</v>
      </c>
      <c r="C48" s="105">
        <v>0</v>
      </c>
      <c r="D48" s="102">
        <v>0</v>
      </c>
    </row>
    <row r="49" spans="1:8" x14ac:dyDescent="0.25">
      <c r="A49" s="103" t="s">
        <v>190</v>
      </c>
      <c r="B49" s="104" t="s">
        <v>69</v>
      </c>
      <c r="C49" s="106">
        <f>SUM(C50:C55)</f>
        <v>0</v>
      </c>
      <c r="D49" s="106">
        <f>SUM(D50:D55)</f>
        <v>0</v>
      </c>
    </row>
    <row r="50" spans="1:8" ht="12" customHeight="1" x14ac:dyDescent="0.25">
      <c r="A50" s="74" t="s">
        <v>191</v>
      </c>
      <c r="B50" s="72" t="s">
        <v>192</v>
      </c>
      <c r="C50" s="73">
        <v>0</v>
      </c>
      <c r="D50" s="73">
        <v>0</v>
      </c>
    </row>
    <row r="51" spans="1:8" x14ac:dyDescent="0.25">
      <c r="A51" s="74" t="s">
        <v>193</v>
      </c>
      <c r="B51" s="72" t="s">
        <v>194</v>
      </c>
      <c r="C51" s="73">
        <v>0</v>
      </c>
      <c r="D51" s="73">
        <v>0</v>
      </c>
    </row>
    <row r="52" spans="1:8" x14ac:dyDescent="0.25">
      <c r="A52" s="74" t="s">
        <v>195</v>
      </c>
      <c r="B52" s="83" t="s">
        <v>196</v>
      </c>
      <c r="C52" s="73">
        <v>0</v>
      </c>
      <c r="D52" s="73">
        <v>0</v>
      </c>
    </row>
    <row r="53" spans="1:8" ht="12" customHeight="1" x14ac:dyDescent="0.25">
      <c r="A53" s="74" t="s">
        <v>197</v>
      </c>
      <c r="B53" s="83" t="s">
        <v>198</v>
      </c>
      <c r="C53" s="73">
        <v>0</v>
      </c>
      <c r="D53" s="73">
        <v>0</v>
      </c>
    </row>
    <row r="54" spans="1:8" ht="12" customHeight="1" x14ac:dyDescent="0.25">
      <c r="A54" s="74" t="s">
        <v>199</v>
      </c>
      <c r="B54" s="83" t="s">
        <v>200</v>
      </c>
      <c r="C54" s="73">
        <v>0</v>
      </c>
      <c r="D54" s="73">
        <v>0</v>
      </c>
    </row>
    <row r="55" spans="1:8" x14ac:dyDescent="0.25">
      <c r="A55" s="74" t="s">
        <v>201</v>
      </c>
      <c r="B55" s="72" t="s">
        <v>202</v>
      </c>
      <c r="C55" s="73">
        <v>0</v>
      </c>
      <c r="D55" s="73">
        <v>0</v>
      </c>
    </row>
    <row r="56" spans="1:8" ht="10.199999999999999" customHeight="1" x14ac:dyDescent="0.25">
      <c r="A56" s="103" t="s">
        <v>203</v>
      </c>
      <c r="B56" s="104" t="s">
        <v>204</v>
      </c>
      <c r="C56" s="105">
        <f>C57+C102+C115</f>
        <v>0</v>
      </c>
      <c r="D56" s="105">
        <f>D57+D102+D115</f>
        <v>0</v>
      </c>
    </row>
    <row r="57" spans="1:8" x14ac:dyDescent="0.25">
      <c r="A57" s="94" t="s">
        <v>92</v>
      </c>
      <c r="B57" s="99" t="s">
        <v>157</v>
      </c>
      <c r="C57" s="68">
        <f>SUM(C59:C101)</f>
        <v>0</v>
      </c>
      <c r="D57" s="68">
        <f>SUM(D59:D101)</f>
        <v>0</v>
      </c>
    </row>
    <row r="58" spans="1:8" x14ac:dyDescent="0.25">
      <c r="A58" s="87" t="s">
        <v>707</v>
      </c>
      <c r="B58" s="79" t="str">
        <f>B8</f>
        <v>Statia 110/20 kV Mirauti, jud. SV</v>
      </c>
      <c r="C58" s="80"/>
      <c r="D58" s="90"/>
    </row>
    <row r="59" spans="1:8" ht="12" customHeight="1" x14ac:dyDescent="0.25">
      <c r="A59" s="146" t="s">
        <v>1305</v>
      </c>
      <c r="B59" s="147" t="s">
        <v>317</v>
      </c>
      <c r="C59" s="148">
        <v>0</v>
      </c>
      <c r="D59" s="149">
        <f t="shared" ref="D59:D101" si="2">C59</f>
        <v>0</v>
      </c>
      <c r="E59" s="137" t="s">
        <v>677</v>
      </c>
      <c r="G59" s="137" t="s">
        <v>677</v>
      </c>
      <c r="H59" s="133">
        <f>C59+C60+C61+C62+C63+C64+C65+C66+C79+C80+C81</f>
        <v>0</v>
      </c>
    </row>
    <row r="60" spans="1:8" ht="12" customHeight="1" x14ac:dyDescent="0.25">
      <c r="A60" s="146" t="s">
        <v>1306</v>
      </c>
      <c r="B60" s="147" t="s">
        <v>384</v>
      </c>
      <c r="C60" s="148">
        <v>0</v>
      </c>
      <c r="D60" s="149">
        <f t="shared" si="2"/>
        <v>0</v>
      </c>
      <c r="E60" s="137" t="s">
        <v>677</v>
      </c>
      <c r="G60" s="138" t="s">
        <v>678</v>
      </c>
      <c r="H60" s="133">
        <f>C82+C84+C89+C95+C96</f>
        <v>0</v>
      </c>
    </row>
    <row r="61" spans="1:8" ht="12" customHeight="1" x14ac:dyDescent="0.25">
      <c r="A61" s="146" t="s">
        <v>1307</v>
      </c>
      <c r="B61" s="147" t="s">
        <v>386</v>
      </c>
      <c r="C61" s="148">
        <v>0</v>
      </c>
      <c r="D61" s="149">
        <f t="shared" si="2"/>
        <v>0</v>
      </c>
      <c r="E61" s="137" t="s">
        <v>677</v>
      </c>
      <c r="G61" s="139" t="s">
        <v>679</v>
      </c>
      <c r="H61" s="133">
        <f>C67+C68+C69+C70+C83+C85+C86+C88</f>
        <v>0</v>
      </c>
    </row>
    <row r="62" spans="1:8" ht="12" customHeight="1" x14ac:dyDescent="0.25">
      <c r="A62" s="146" t="s">
        <v>1308</v>
      </c>
      <c r="B62" s="147" t="s">
        <v>314</v>
      </c>
      <c r="C62" s="148">
        <v>0</v>
      </c>
      <c r="D62" s="149">
        <f t="shared" si="2"/>
        <v>0</v>
      </c>
      <c r="E62" s="137" t="s">
        <v>677</v>
      </c>
      <c r="G62" s="140" t="s">
        <v>680</v>
      </c>
      <c r="H62" s="133">
        <f>C71+C72+C73+C74+C75+C76+C77+C78+C87+C90+C91+C92+C93+C94+C97+C98+C99+C100+C101</f>
        <v>0</v>
      </c>
    </row>
    <row r="63" spans="1:8" ht="12" customHeight="1" x14ac:dyDescent="0.25">
      <c r="A63" s="146" t="s">
        <v>1309</v>
      </c>
      <c r="B63" s="147" t="s">
        <v>316</v>
      </c>
      <c r="C63" s="148">
        <v>0</v>
      </c>
      <c r="D63" s="149">
        <f t="shared" si="2"/>
        <v>0</v>
      </c>
      <c r="E63" s="137" t="s">
        <v>677</v>
      </c>
      <c r="G63" s="141" t="s">
        <v>681</v>
      </c>
      <c r="H63" s="133">
        <f>0</f>
        <v>0</v>
      </c>
    </row>
    <row r="64" spans="1:8" ht="12" customHeight="1" x14ac:dyDescent="0.25">
      <c r="A64" s="146" t="s">
        <v>1310</v>
      </c>
      <c r="B64" s="147" t="s">
        <v>390</v>
      </c>
      <c r="C64" s="148">
        <v>0</v>
      </c>
      <c r="D64" s="149">
        <f t="shared" si="2"/>
        <v>0</v>
      </c>
      <c r="E64" s="137" t="s">
        <v>677</v>
      </c>
    </row>
    <row r="65" spans="1:8" ht="12" customHeight="1" x14ac:dyDescent="0.25">
      <c r="A65" s="146" t="s">
        <v>1311</v>
      </c>
      <c r="B65" s="147" t="s">
        <v>392</v>
      </c>
      <c r="C65" s="148">
        <v>0</v>
      </c>
      <c r="D65" s="149">
        <f t="shared" si="2"/>
        <v>0</v>
      </c>
      <c r="E65" s="137" t="s">
        <v>677</v>
      </c>
      <c r="H65" s="169">
        <f>C57-H59-H60-H61-H62-H63</f>
        <v>0</v>
      </c>
    </row>
    <row r="66" spans="1:8" ht="12" customHeight="1" x14ac:dyDescent="0.25">
      <c r="A66" s="146" t="s">
        <v>1312</v>
      </c>
      <c r="B66" s="147" t="s">
        <v>394</v>
      </c>
      <c r="C66" s="148">
        <v>0</v>
      </c>
      <c r="D66" s="149">
        <f t="shared" si="2"/>
        <v>0</v>
      </c>
      <c r="E66" s="137" t="s">
        <v>677</v>
      </c>
    </row>
    <row r="67" spans="1:8" ht="12" customHeight="1" x14ac:dyDescent="0.25">
      <c r="A67" s="154" t="s">
        <v>1313</v>
      </c>
      <c r="B67" s="155" t="s">
        <v>398</v>
      </c>
      <c r="C67" s="156">
        <v>0</v>
      </c>
      <c r="D67" s="157">
        <f t="shared" si="2"/>
        <v>0</v>
      </c>
      <c r="E67" s="139" t="s">
        <v>679</v>
      </c>
    </row>
    <row r="68" spans="1:8" x14ac:dyDescent="0.25">
      <c r="A68" s="154" t="s">
        <v>1314</v>
      </c>
      <c r="B68" s="155" t="s">
        <v>396</v>
      </c>
      <c r="C68" s="156">
        <v>0</v>
      </c>
      <c r="D68" s="157">
        <f t="shared" si="2"/>
        <v>0</v>
      </c>
      <c r="E68" s="139" t="s">
        <v>679</v>
      </c>
    </row>
    <row r="69" spans="1:8" x14ac:dyDescent="0.25">
      <c r="A69" s="154" t="s">
        <v>1315</v>
      </c>
      <c r="B69" s="155" t="s">
        <v>418</v>
      </c>
      <c r="C69" s="156">
        <v>0</v>
      </c>
      <c r="D69" s="157">
        <f t="shared" si="2"/>
        <v>0</v>
      </c>
      <c r="E69" s="139" t="s">
        <v>679</v>
      </c>
    </row>
    <row r="70" spans="1:8" x14ac:dyDescent="0.25">
      <c r="A70" s="154" t="s">
        <v>1316</v>
      </c>
      <c r="B70" s="155" t="s">
        <v>319</v>
      </c>
      <c r="C70" s="156">
        <v>0</v>
      </c>
      <c r="D70" s="157">
        <f t="shared" si="2"/>
        <v>0</v>
      </c>
      <c r="E70" s="139" t="s">
        <v>679</v>
      </c>
    </row>
    <row r="71" spans="1:8" x14ac:dyDescent="0.25">
      <c r="A71" s="190" t="s">
        <v>1317</v>
      </c>
      <c r="B71" s="191" t="s">
        <v>428</v>
      </c>
      <c r="C71" s="188">
        <v>0</v>
      </c>
      <c r="D71" s="189">
        <f t="shared" si="2"/>
        <v>0</v>
      </c>
    </row>
    <row r="72" spans="1:8" x14ac:dyDescent="0.25">
      <c r="A72" s="190" t="s">
        <v>1318</v>
      </c>
      <c r="B72" s="191" t="s">
        <v>322</v>
      </c>
      <c r="C72" s="188">
        <v>0</v>
      </c>
      <c r="D72" s="189">
        <f t="shared" si="2"/>
        <v>0</v>
      </c>
    </row>
    <row r="73" spans="1:8" x14ac:dyDescent="0.25">
      <c r="A73" s="190" t="s">
        <v>1319</v>
      </c>
      <c r="B73" s="191" t="s">
        <v>429</v>
      </c>
      <c r="C73" s="188">
        <v>0</v>
      </c>
      <c r="D73" s="189">
        <f t="shared" si="2"/>
        <v>0</v>
      </c>
    </row>
    <row r="74" spans="1:8" x14ac:dyDescent="0.25">
      <c r="A74" s="190" t="s">
        <v>1320</v>
      </c>
      <c r="B74" s="191" t="s">
        <v>323</v>
      </c>
      <c r="C74" s="188">
        <v>0</v>
      </c>
      <c r="D74" s="189">
        <f t="shared" si="2"/>
        <v>0</v>
      </c>
    </row>
    <row r="75" spans="1:8" x14ac:dyDescent="0.25">
      <c r="A75" s="190" t="s">
        <v>1321</v>
      </c>
      <c r="B75" s="191" t="s">
        <v>430</v>
      </c>
      <c r="C75" s="188">
        <v>0</v>
      </c>
      <c r="D75" s="189">
        <f t="shared" si="2"/>
        <v>0</v>
      </c>
    </row>
    <row r="76" spans="1:8" x14ac:dyDescent="0.25">
      <c r="A76" s="190" t="s">
        <v>1322</v>
      </c>
      <c r="B76" s="191" t="s">
        <v>910</v>
      </c>
      <c r="C76" s="188">
        <v>0</v>
      </c>
      <c r="D76" s="189">
        <f t="shared" si="2"/>
        <v>0</v>
      </c>
    </row>
    <row r="77" spans="1:8" x14ac:dyDescent="0.25">
      <c r="A77" s="190" t="s">
        <v>1323</v>
      </c>
      <c r="B77" s="191" t="s">
        <v>911</v>
      </c>
      <c r="C77" s="188">
        <v>0</v>
      </c>
      <c r="D77" s="189">
        <f t="shared" si="2"/>
        <v>0</v>
      </c>
    </row>
    <row r="78" spans="1:8" x14ac:dyDescent="0.25">
      <c r="A78" s="190" t="s">
        <v>1324</v>
      </c>
      <c r="B78" s="191" t="s">
        <v>1352</v>
      </c>
      <c r="C78" s="188">
        <v>0</v>
      </c>
      <c r="D78" s="189">
        <f t="shared" si="2"/>
        <v>0</v>
      </c>
    </row>
    <row r="79" spans="1:8" x14ac:dyDescent="0.25">
      <c r="A79" s="146" t="s">
        <v>1325</v>
      </c>
      <c r="B79" s="147" t="s">
        <v>1353</v>
      </c>
      <c r="C79" s="148">
        <v>0</v>
      </c>
      <c r="D79" s="149">
        <f t="shared" si="2"/>
        <v>0</v>
      </c>
      <c r="E79" s="137" t="s">
        <v>677</v>
      </c>
    </row>
    <row r="80" spans="1:8" x14ac:dyDescent="0.25">
      <c r="A80" s="146" t="s">
        <v>1326</v>
      </c>
      <c r="B80" s="147" t="s">
        <v>411</v>
      </c>
      <c r="C80" s="148">
        <v>0</v>
      </c>
      <c r="D80" s="149">
        <f t="shared" si="2"/>
        <v>0</v>
      </c>
      <c r="E80" s="137" t="s">
        <v>677</v>
      </c>
    </row>
    <row r="81" spans="1:5" x14ac:dyDescent="0.25">
      <c r="A81" s="146" t="s">
        <v>1327</v>
      </c>
      <c r="B81" s="147" t="s">
        <v>1263</v>
      </c>
      <c r="C81" s="148">
        <v>0</v>
      </c>
      <c r="D81" s="149">
        <f t="shared" si="2"/>
        <v>0</v>
      </c>
      <c r="E81" s="137" t="s">
        <v>677</v>
      </c>
    </row>
    <row r="82" spans="1:5" x14ac:dyDescent="0.25">
      <c r="A82" s="150" t="s">
        <v>1328</v>
      </c>
      <c r="B82" s="151" t="s">
        <v>1264</v>
      </c>
      <c r="C82" s="152">
        <v>0</v>
      </c>
      <c r="D82" s="153">
        <f t="shared" si="2"/>
        <v>0</v>
      </c>
      <c r="E82" s="138" t="s">
        <v>678</v>
      </c>
    </row>
    <row r="83" spans="1:5" x14ac:dyDescent="0.25">
      <c r="A83" s="154" t="s">
        <v>1329</v>
      </c>
      <c r="B83" s="155" t="s">
        <v>1265</v>
      </c>
      <c r="C83" s="156">
        <v>0</v>
      </c>
      <c r="D83" s="157">
        <f t="shared" si="2"/>
        <v>0</v>
      </c>
      <c r="E83" s="139" t="s">
        <v>679</v>
      </c>
    </row>
    <row r="84" spans="1:5" x14ac:dyDescent="0.25">
      <c r="A84" s="150" t="s">
        <v>1330</v>
      </c>
      <c r="B84" s="151" t="s">
        <v>1266</v>
      </c>
      <c r="C84" s="152">
        <v>0</v>
      </c>
      <c r="D84" s="153">
        <f t="shared" si="2"/>
        <v>0</v>
      </c>
      <c r="E84" s="138" t="s">
        <v>678</v>
      </c>
    </row>
    <row r="85" spans="1:5" x14ac:dyDescent="0.25">
      <c r="A85" s="154" t="s">
        <v>1331</v>
      </c>
      <c r="B85" s="155" t="s">
        <v>415</v>
      </c>
      <c r="C85" s="156">
        <v>0</v>
      </c>
      <c r="D85" s="157">
        <f t="shared" si="2"/>
        <v>0</v>
      </c>
      <c r="E85" s="139" t="s">
        <v>679</v>
      </c>
    </row>
    <row r="86" spans="1:5" x14ac:dyDescent="0.25">
      <c r="A86" s="154" t="s">
        <v>1332</v>
      </c>
      <c r="B86" s="155" t="s">
        <v>1012</v>
      </c>
      <c r="C86" s="156">
        <v>0</v>
      </c>
      <c r="D86" s="157">
        <f t="shared" si="2"/>
        <v>0</v>
      </c>
      <c r="E86" s="139" t="s">
        <v>679</v>
      </c>
    </row>
    <row r="87" spans="1:5" x14ac:dyDescent="0.25">
      <c r="A87" s="190" t="s">
        <v>1333</v>
      </c>
      <c r="B87" s="191" t="s">
        <v>1013</v>
      </c>
      <c r="C87" s="188">
        <v>0</v>
      </c>
      <c r="D87" s="189">
        <f t="shared" si="2"/>
        <v>0</v>
      </c>
    </row>
    <row r="88" spans="1:5" x14ac:dyDescent="0.25">
      <c r="A88" s="154" t="s">
        <v>1334</v>
      </c>
      <c r="B88" s="155" t="s">
        <v>423</v>
      </c>
      <c r="C88" s="156">
        <v>0</v>
      </c>
      <c r="D88" s="157">
        <f t="shared" si="2"/>
        <v>0</v>
      </c>
      <c r="E88" s="139" t="s">
        <v>679</v>
      </c>
    </row>
    <row r="89" spans="1:5" x14ac:dyDescent="0.25">
      <c r="A89" s="150" t="s">
        <v>1335</v>
      </c>
      <c r="B89" s="151" t="s">
        <v>1354</v>
      </c>
      <c r="C89" s="152">
        <v>0</v>
      </c>
      <c r="D89" s="153">
        <f t="shared" si="2"/>
        <v>0</v>
      </c>
      <c r="E89" s="138" t="s">
        <v>678</v>
      </c>
    </row>
    <row r="90" spans="1:5" x14ac:dyDescent="0.25">
      <c r="A90" s="190" t="s">
        <v>1336</v>
      </c>
      <c r="B90" s="191" t="s">
        <v>424</v>
      </c>
      <c r="C90" s="188">
        <v>0</v>
      </c>
      <c r="D90" s="189">
        <f t="shared" si="2"/>
        <v>0</v>
      </c>
    </row>
    <row r="91" spans="1:5" x14ac:dyDescent="0.25">
      <c r="A91" s="190" t="s">
        <v>1337</v>
      </c>
      <c r="B91" s="191" t="s">
        <v>425</v>
      </c>
      <c r="C91" s="188">
        <v>0</v>
      </c>
      <c r="D91" s="189">
        <f t="shared" si="2"/>
        <v>0</v>
      </c>
    </row>
    <row r="92" spans="1:5" x14ac:dyDescent="0.25">
      <c r="A92" s="190" t="s">
        <v>1338</v>
      </c>
      <c r="B92" s="191" t="s">
        <v>320</v>
      </c>
      <c r="C92" s="188">
        <v>0</v>
      </c>
      <c r="D92" s="189">
        <f t="shared" si="2"/>
        <v>0</v>
      </c>
    </row>
    <row r="93" spans="1:5" x14ac:dyDescent="0.25">
      <c r="A93" s="190" t="s">
        <v>1339</v>
      </c>
      <c r="B93" s="191" t="s">
        <v>437</v>
      </c>
      <c r="C93" s="188">
        <v>0</v>
      </c>
      <c r="D93" s="189">
        <f t="shared" si="2"/>
        <v>0</v>
      </c>
    </row>
    <row r="94" spans="1:5" x14ac:dyDescent="0.25">
      <c r="A94" s="190" t="s">
        <v>1340</v>
      </c>
      <c r="B94" s="191" t="s">
        <v>438</v>
      </c>
      <c r="C94" s="188">
        <v>0</v>
      </c>
      <c r="D94" s="189">
        <f t="shared" si="2"/>
        <v>0</v>
      </c>
    </row>
    <row r="95" spans="1:5" x14ac:dyDescent="0.25">
      <c r="A95" s="150" t="s">
        <v>1341</v>
      </c>
      <c r="B95" s="151" t="s">
        <v>439</v>
      </c>
      <c r="C95" s="152">
        <v>0</v>
      </c>
      <c r="D95" s="153">
        <f t="shared" si="2"/>
        <v>0</v>
      </c>
      <c r="E95" s="138" t="s">
        <v>678</v>
      </c>
    </row>
    <row r="96" spans="1:5" x14ac:dyDescent="0.25">
      <c r="A96" s="150" t="s">
        <v>1342</v>
      </c>
      <c r="B96" s="151" t="s">
        <v>511</v>
      </c>
      <c r="C96" s="152">
        <v>0</v>
      </c>
      <c r="D96" s="153">
        <f t="shared" si="2"/>
        <v>0</v>
      </c>
      <c r="E96" s="138" t="s">
        <v>678</v>
      </c>
    </row>
    <row r="97" spans="1:8" x14ac:dyDescent="0.25">
      <c r="A97" s="190" t="s">
        <v>1343</v>
      </c>
      <c r="B97" s="191" t="s">
        <v>321</v>
      </c>
      <c r="C97" s="188">
        <v>0</v>
      </c>
      <c r="D97" s="189">
        <f t="shared" si="2"/>
        <v>0</v>
      </c>
    </row>
    <row r="98" spans="1:8" x14ac:dyDescent="0.25">
      <c r="A98" s="190" t="s">
        <v>1344</v>
      </c>
      <c r="B98" s="191" t="s">
        <v>1355</v>
      </c>
      <c r="C98" s="188">
        <v>0</v>
      </c>
      <c r="D98" s="189">
        <f t="shared" si="2"/>
        <v>0</v>
      </c>
    </row>
    <row r="99" spans="1:8" x14ac:dyDescent="0.25">
      <c r="A99" s="190" t="s">
        <v>1345</v>
      </c>
      <c r="B99" s="191" t="s">
        <v>1356</v>
      </c>
      <c r="C99" s="188">
        <v>0</v>
      </c>
      <c r="D99" s="189">
        <f t="shared" si="2"/>
        <v>0</v>
      </c>
      <c r="F99" s="67" t="s">
        <v>163</v>
      </c>
    </row>
    <row r="100" spans="1:8" x14ac:dyDescent="0.25">
      <c r="A100" s="190" t="s">
        <v>1346</v>
      </c>
      <c r="B100" s="191" t="s">
        <v>1357</v>
      </c>
      <c r="C100" s="188">
        <v>0</v>
      </c>
      <c r="D100" s="189">
        <f t="shared" si="2"/>
        <v>0</v>
      </c>
      <c r="F100" s="67" t="s">
        <v>158</v>
      </c>
    </row>
    <row r="101" spans="1:8" x14ac:dyDescent="0.25">
      <c r="A101" s="190" t="s">
        <v>1347</v>
      </c>
      <c r="B101" s="191" t="s">
        <v>256</v>
      </c>
      <c r="C101" s="188">
        <v>0</v>
      </c>
      <c r="D101" s="189">
        <f t="shared" si="2"/>
        <v>0</v>
      </c>
      <c r="G101" s="133">
        <f>0</f>
        <v>0</v>
      </c>
    </row>
    <row r="102" spans="1:8" x14ac:dyDescent="0.25">
      <c r="A102" s="94" t="s">
        <v>101</v>
      </c>
      <c r="B102" s="99" t="s">
        <v>261</v>
      </c>
      <c r="C102" s="68">
        <f>SUM(C104:C114)</f>
        <v>0</v>
      </c>
      <c r="D102" s="68">
        <f>SUM(D104:D114)</f>
        <v>0</v>
      </c>
    </row>
    <row r="103" spans="1:8" x14ac:dyDescent="0.25">
      <c r="A103" s="87" t="s">
        <v>725</v>
      </c>
      <c r="B103" s="111" t="str">
        <f>DG!D100</f>
        <v>Statia 110/20 kV Mirauti, jud. SV</v>
      </c>
      <c r="C103" s="89"/>
      <c r="D103" s="90"/>
    </row>
    <row r="104" spans="1:8" x14ac:dyDescent="0.25">
      <c r="A104" s="160" t="s">
        <v>1278</v>
      </c>
      <c r="B104" s="155" t="s">
        <v>935</v>
      </c>
      <c r="C104" s="156">
        <v>0</v>
      </c>
      <c r="D104" s="157">
        <f t="shared" ref="D104:D114" si="3">C104</f>
        <v>0</v>
      </c>
      <c r="E104" s="139" t="s">
        <v>679</v>
      </c>
      <c r="G104" s="137" t="s">
        <v>677</v>
      </c>
      <c r="H104" s="164">
        <f>C105</f>
        <v>0</v>
      </c>
    </row>
    <row r="105" spans="1:8" x14ac:dyDescent="0.25">
      <c r="A105" s="158" t="s">
        <v>1279</v>
      </c>
      <c r="B105" s="147" t="s">
        <v>979</v>
      </c>
      <c r="C105" s="148">
        <v>0</v>
      </c>
      <c r="D105" s="149">
        <f t="shared" si="3"/>
        <v>0</v>
      </c>
      <c r="E105" s="137" t="s">
        <v>677</v>
      </c>
      <c r="G105" s="138" t="s">
        <v>678</v>
      </c>
      <c r="H105" s="133">
        <f>C106+C114</f>
        <v>0</v>
      </c>
    </row>
    <row r="106" spans="1:8" ht="12" customHeight="1" x14ac:dyDescent="0.25">
      <c r="A106" s="162" t="s">
        <v>1280</v>
      </c>
      <c r="B106" s="151" t="s">
        <v>980</v>
      </c>
      <c r="C106" s="152">
        <v>0</v>
      </c>
      <c r="D106" s="153">
        <f t="shared" si="3"/>
        <v>0</v>
      </c>
      <c r="E106" s="138" t="s">
        <v>678</v>
      </c>
      <c r="G106" s="139" t="s">
        <v>679</v>
      </c>
      <c r="H106" s="133">
        <f>C104+C107+C108+C109</f>
        <v>0</v>
      </c>
    </row>
    <row r="107" spans="1:8" ht="12" customHeight="1" x14ac:dyDescent="0.25">
      <c r="A107" s="160" t="s">
        <v>1281</v>
      </c>
      <c r="B107" s="155" t="s">
        <v>981</v>
      </c>
      <c r="C107" s="156">
        <v>0</v>
      </c>
      <c r="D107" s="157">
        <f t="shared" si="3"/>
        <v>0</v>
      </c>
      <c r="E107" s="139" t="s">
        <v>679</v>
      </c>
      <c r="G107" s="140" t="s">
        <v>680</v>
      </c>
      <c r="H107" s="133">
        <f>C110+C111+C112+C113</f>
        <v>0</v>
      </c>
    </row>
    <row r="108" spans="1:8" x14ac:dyDescent="0.25">
      <c r="A108" s="160" t="s">
        <v>1282</v>
      </c>
      <c r="B108" s="155" t="s">
        <v>982</v>
      </c>
      <c r="C108" s="156">
        <v>0</v>
      </c>
      <c r="D108" s="157">
        <f t="shared" si="3"/>
        <v>0</v>
      </c>
      <c r="E108" s="139" t="s">
        <v>679</v>
      </c>
    </row>
    <row r="109" spans="1:8" x14ac:dyDescent="0.25">
      <c r="A109" s="160" t="s">
        <v>1283</v>
      </c>
      <c r="B109" s="155" t="s">
        <v>983</v>
      </c>
      <c r="C109" s="156">
        <v>0</v>
      </c>
      <c r="D109" s="157">
        <f t="shared" si="3"/>
        <v>0</v>
      </c>
      <c r="E109" s="139" t="s">
        <v>679</v>
      </c>
      <c r="H109" s="169">
        <f>C102-H104-H105-H106-H107</f>
        <v>0</v>
      </c>
    </row>
    <row r="110" spans="1:8" x14ac:dyDescent="0.25">
      <c r="A110" s="194" t="s">
        <v>1284</v>
      </c>
      <c r="B110" s="191" t="s">
        <v>984</v>
      </c>
      <c r="C110" s="188">
        <v>0</v>
      </c>
      <c r="D110" s="189">
        <f t="shared" si="3"/>
        <v>0</v>
      </c>
      <c r="E110" s="140" t="s">
        <v>680</v>
      </c>
    </row>
    <row r="111" spans="1:8" x14ac:dyDescent="0.25">
      <c r="A111" s="194" t="s">
        <v>1285</v>
      </c>
      <c r="B111" s="191" t="s">
        <v>985</v>
      </c>
      <c r="C111" s="188">
        <v>0</v>
      </c>
      <c r="D111" s="189">
        <f t="shared" si="3"/>
        <v>0</v>
      </c>
      <c r="E111" s="140" t="s">
        <v>680</v>
      </c>
    </row>
    <row r="112" spans="1:8" x14ac:dyDescent="0.25">
      <c r="A112" s="194" t="s">
        <v>1286</v>
      </c>
      <c r="B112" s="191" t="s">
        <v>986</v>
      </c>
      <c r="C112" s="188">
        <v>0</v>
      </c>
      <c r="D112" s="189">
        <f t="shared" si="3"/>
        <v>0</v>
      </c>
      <c r="E112" s="140" t="s">
        <v>680</v>
      </c>
    </row>
    <row r="113" spans="1:8" x14ac:dyDescent="0.25">
      <c r="A113" s="194" t="s">
        <v>1287</v>
      </c>
      <c r="B113" s="191" t="s">
        <v>987</v>
      </c>
      <c r="C113" s="188">
        <v>0</v>
      </c>
      <c r="D113" s="189">
        <f t="shared" si="3"/>
        <v>0</v>
      </c>
      <c r="E113" s="140" t="s">
        <v>680</v>
      </c>
      <c r="H113" s="169"/>
    </row>
    <row r="114" spans="1:8" ht="12" customHeight="1" x14ac:dyDescent="0.25">
      <c r="A114" s="162" t="s">
        <v>1288</v>
      </c>
      <c r="B114" s="151" t="s">
        <v>988</v>
      </c>
      <c r="C114" s="152">
        <v>0</v>
      </c>
      <c r="D114" s="153">
        <f t="shared" si="3"/>
        <v>0</v>
      </c>
      <c r="E114" s="138" t="s">
        <v>678</v>
      </c>
    </row>
    <row r="115" spans="1:8" x14ac:dyDescent="0.25">
      <c r="A115" s="94" t="s">
        <v>110</v>
      </c>
      <c r="B115" s="99" t="s">
        <v>270</v>
      </c>
      <c r="C115" s="68">
        <f>SUM(C117:C126)</f>
        <v>0</v>
      </c>
      <c r="D115" s="68">
        <f>SUM(D117:D126)</f>
        <v>0</v>
      </c>
    </row>
    <row r="116" spans="1:8" x14ac:dyDescent="0.25">
      <c r="A116" s="88" t="s">
        <v>730</v>
      </c>
      <c r="B116" s="111" t="str">
        <f>DG!D113</f>
        <v>Statia 110/20 kV Mirauti, jud. SV</v>
      </c>
      <c r="C116" s="89"/>
      <c r="D116" s="89"/>
    </row>
    <row r="117" spans="1:8" x14ac:dyDescent="0.25">
      <c r="A117" s="158" t="s">
        <v>1269</v>
      </c>
      <c r="B117" s="147" t="s">
        <v>441</v>
      </c>
      <c r="C117" s="148">
        <v>0</v>
      </c>
      <c r="D117" s="159">
        <v>0</v>
      </c>
      <c r="E117" s="137" t="s">
        <v>677</v>
      </c>
      <c r="G117" s="137" t="s">
        <v>677</v>
      </c>
      <c r="H117" s="164">
        <f>C117</f>
        <v>0</v>
      </c>
    </row>
    <row r="118" spans="1:8" ht="12" customHeight="1" x14ac:dyDescent="0.25">
      <c r="A118" s="162" t="s">
        <v>1181</v>
      </c>
      <c r="B118" s="151" t="s">
        <v>967</v>
      </c>
      <c r="C118" s="152">
        <v>0</v>
      </c>
      <c r="D118" s="163">
        <v>0</v>
      </c>
      <c r="E118" s="138" t="s">
        <v>678</v>
      </c>
      <c r="G118" s="138" t="s">
        <v>678</v>
      </c>
      <c r="H118" s="133">
        <f>C118+C126</f>
        <v>0</v>
      </c>
    </row>
    <row r="119" spans="1:8" ht="12" customHeight="1" x14ac:dyDescent="0.25">
      <c r="A119" s="160" t="s">
        <v>1270</v>
      </c>
      <c r="B119" s="155" t="s">
        <v>968</v>
      </c>
      <c r="C119" s="156">
        <v>0</v>
      </c>
      <c r="D119" s="161">
        <v>0</v>
      </c>
      <c r="E119" s="139" t="s">
        <v>679</v>
      </c>
      <c r="G119" s="139" t="s">
        <v>679</v>
      </c>
      <c r="H119" s="133">
        <f>C119+C120+C121</f>
        <v>0</v>
      </c>
    </row>
    <row r="120" spans="1:8" x14ac:dyDescent="0.25">
      <c r="A120" s="160" t="s">
        <v>1271</v>
      </c>
      <c r="B120" s="155" t="s">
        <v>950</v>
      </c>
      <c r="C120" s="156">
        <v>0</v>
      </c>
      <c r="D120" s="161">
        <v>0</v>
      </c>
      <c r="E120" s="139" t="s">
        <v>679</v>
      </c>
      <c r="G120" s="140" t="s">
        <v>680</v>
      </c>
      <c r="H120" s="133">
        <f>C122+C123+C124+C125</f>
        <v>0</v>
      </c>
    </row>
    <row r="121" spans="1:8" x14ac:dyDescent="0.25">
      <c r="A121" s="160" t="s">
        <v>1272</v>
      </c>
      <c r="B121" s="155" t="s">
        <v>969</v>
      </c>
      <c r="C121" s="156">
        <v>0</v>
      </c>
      <c r="D121" s="161">
        <v>0</v>
      </c>
      <c r="E121" s="139" t="s">
        <v>679</v>
      </c>
    </row>
    <row r="122" spans="1:8" ht="12" customHeight="1" x14ac:dyDescent="0.25">
      <c r="A122" s="194" t="s">
        <v>1273</v>
      </c>
      <c r="B122" s="191" t="s">
        <v>970</v>
      </c>
      <c r="C122" s="188">
        <v>0</v>
      </c>
      <c r="D122" s="197">
        <v>0</v>
      </c>
      <c r="E122" s="140" t="s">
        <v>680</v>
      </c>
      <c r="H122" s="169">
        <f>C115-H117-H118-H119-H120</f>
        <v>0</v>
      </c>
    </row>
    <row r="123" spans="1:8" ht="12" customHeight="1" x14ac:dyDescent="0.25">
      <c r="A123" s="194" t="s">
        <v>1274</v>
      </c>
      <c r="B123" s="191" t="s">
        <v>971</v>
      </c>
      <c r="C123" s="188">
        <v>0</v>
      </c>
      <c r="D123" s="197">
        <v>0</v>
      </c>
      <c r="E123" s="140" t="s">
        <v>680</v>
      </c>
    </row>
    <row r="124" spans="1:8" ht="12" customHeight="1" x14ac:dyDescent="0.25">
      <c r="A124" s="194" t="s">
        <v>1275</v>
      </c>
      <c r="B124" s="191" t="s">
        <v>451</v>
      </c>
      <c r="C124" s="188">
        <v>0</v>
      </c>
      <c r="D124" s="197">
        <v>0</v>
      </c>
      <c r="E124" s="140" t="s">
        <v>680</v>
      </c>
    </row>
    <row r="125" spans="1:8" ht="12" customHeight="1" x14ac:dyDescent="0.25">
      <c r="A125" s="194" t="s">
        <v>1276</v>
      </c>
      <c r="B125" s="191" t="s">
        <v>972</v>
      </c>
      <c r="C125" s="188">
        <v>0</v>
      </c>
      <c r="D125" s="197">
        <v>0</v>
      </c>
      <c r="E125" s="140" t="s">
        <v>680</v>
      </c>
    </row>
    <row r="126" spans="1:8" ht="12" customHeight="1" x14ac:dyDescent="0.25">
      <c r="A126" s="162" t="s">
        <v>1277</v>
      </c>
      <c r="B126" s="151" t="s">
        <v>973</v>
      </c>
      <c r="C126" s="152">
        <v>0</v>
      </c>
      <c r="D126" s="163">
        <v>0</v>
      </c>
      <c r="E126" s="138" t="s">
        <v>678</v>
      </c>
    </row>
    <row r="127" spans="1:8" ht="12" customHeight="1" x14ac:dyDescent="0.25">
      <c r="A127" s="74" t="s">
        <v>119</v>
      </c>
      <c r="B127" s="83" t="s">
        <v>282</v>
      </c>
      <c r="C127" s="73">
        <v>0</v>
      </c>
      <c r="D127" s="73">
        <v>0</v>
      </c>
    </row>
    <row r="128" spans="1:8" x14ac:dyDescent="0.25">
      <c r="A128" s="74" t="s">
        <v>121</v>
      </c>
      <c r="B128" s="72" t="s">
        <v>283</v>
      </c>
      <c r="C128" s="73">
        <v>0</v>
      </c>
      <c r="D128" s="73">
        <v>0</v>
      </c>
    </row>
    <row r="129" spans="1:4" x14ac:dyDescent="0.25">
      <c r="A129" s="74" t="s">
        <v>123</v>
      </c>
      <c r="B129" s="72" t="s">
        <v>284</v>
      </c>
      <c r="C129" s="73">
        <v>0</v>
      </c>
      <c r="D129" s="73">
        <v>0</v>
      </c>
    </row>
    <row r="130" spans="1:4" x14ac:dyDescent="0.25">
      <c r="A130" s="74" t="s">
        <v>127</v>
      </c>
      <c r="B130" s="72" t="s">
        <v>285</v>
      </c>
      <c r="C130" s="73">
        <v>0</v>
      </c>
      <c r="D130" s="73">
        <v>0</v>
      </c>
    </row>
    <row r="131" spans="1:4" x14ac:dyDescent="0.25">
      <c r="A131" s="74" t="s">
        <v>286</v>
      </c>
      <c r="B131" s="77" t="s">
        <v>287</v>
      </c>
      <c r="C131" s="73">
        <v>0</v>
      </c>
      <c r="D131" s="73">
        <v>0</v>
      </c>
    </row>
    <row r="132" spans="1:4" x14ac:dyDescent="0.25">
      <c r="A132" s="74" t="s">
        <v>288</v>
      </c>
      <c r="B132" s="72" t="s">
        <v>289</v>
      </c>
      <c r="C132" s="73">
        <v>0</v>
      </c>
      <c r="D132" s="73">
        <v>0</v>
      </c>
    </row>
    <row r="133" spans="1:4" x14ac:dyDescent="0.25">
      <c r="A133" s="74" t="s">
        <v>150</v>
      </c>
      <c r="B133" s="72" t="s">
        <v>290</v>
      </c>
      <c r="C133" s="73">
        <v>0</v>
      </c>
      <c r="D133" s="73">
        <v>0</v>
      </c>
    </row>
    <row r="134" spans="1:4" x14ac:dyDescent="0.25">
      <c r="A134" s="274" t="s">
        <v>291</v>
      </c>
      <c r="B134" s="274"/>
      <c r="C134" s="73">
        <f>C13+C48+C49+C56</f>
        <v>0</v>
      </c>
      <c r="D134" s="73">
        <f>D13+D48+D49+D56</f>
        <v>0</v>
      </c>
    </row>
    <row r="135" spans="1:4" x14ac:dyDescent="0.25">
      <c r="A135" s="274" t="s">
        <v>292</v>
      </c>
      <c r="B135" s="274"/>
      <c r="C135" s="73">
        <f>C134*19%</f>
        <v>0</v>
      </c>
      <c r="D135" s="73">
        <f>D134*19%</f>
        <v>0</v>
      </c>
    </row>
    <row r="136" spans="1:4" x14ac:dyDescent="0.25">
      <c r="A136" s="274" t="s">
        <v>293</v>
      </c>
      <c r="B136" s="274"/>
      <c r="C136" s="73">
        <f>C134+C135</f>
        <v>0</v>
      </c>
      <c r="D136" s="73">
        <f>D134+D135</f>
        <v>0</v>
      </c>
    </row>
  </sheetData>
  <mergeCells count="12">
    <mergeCell ref="A9:B9"/>
    <mergeCell ref="C9:D9"/>
    <mergeCell ref="A1:B1"/>
    <mergeCell ref="A2:B2"/>
    <mergeCell ref="A3:D3"/>
    <mergeCell ref="A4:D4"/>
    <mergeCell ref="B6:D6"/>
    <mergeCell ref="A10:A11"/>
    <mergeCell ref="B10:B11"/>
    <mergeCell ref="A134:B134"/>
    <mergeCell ref="A135:B135"/>
    <mergeCell ref="A136:B136"/>
  </mergeCells>
  <phoneticPr fontId="15" type="noConversion"/>
  <pageMargins left="0.78740157480314965" right="0.59055118110236227" top="0.59055118110236227" bottom="0.78740157480314965" header="0" footer="0"/>
  <pageSetup paperSize="9" orientation="portrait" r:id="rId1"/>
  <ignoredErrors>
    <ignoredError sqref="C11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2072-B8B7-4578-84DD-1199C0B8E38D}">
  <dimension ref="A1:O100"/>
  <sheetViews>
    <sheetView view="pageBreakPreview" zoomScale="160" zoomScaleNormal="100" zoomScaleSheetLayoutView="16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2.1992187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5.59765625" style="1" customWidth="1"/>
    <col min="13" max="13" width="13.59765625" style="1" customWidth="1"/>
    <col min="14" max="14" width="12.8984375" style="1" customWidth="1"/>
    <col min="15" max="15" width="12.1992187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DG!D76</f>
        <v>Statia 110/20 kV Belcesti, jud. IS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/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8">
        <f t="shared" ref="F17:F23" si="2">ROUND(E17/$F$7,2)</f>
        <v>0</v>
      </c>
      <c r="G17" s="8">
        <f t="shared" ref="G17:G23" si="3">ROUND(E17*$K$3,2)</f>
        <v>0</v>
      </c>
      <c r="H17" s="8">
        <f t="shared" ref="H17:H23" si="4">E17+G17</f>
        <v>0</v>
      </c>
      <c r="I17" s="8">
        <f t="shared" ref="I17:I23" si="5">ROUND(G17/$F$7,2)+F17</f>
        <v>0</v>
      </c>
    </row>
    <row r="18" spans="1:9" ht="11.1" customHeight="1" x14ac:dyDescent="0.25">
      <c r="A18" s="44"/>
      <c r="B18" s="55"/>
      <c r="C18" s="268" t="s">
        <v>682</v>
      </c>
      <c r="D18" s="269"/>
      <c r="E18" s="8">
        <f>'(1)F1 Bel'!H17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'(1)F1 Bel'!H18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'(1)F1 Bel'!H19</f>
        <v>0</v>
      </c>
      <c r="F20" s="8">
        <f t="shared" ref="F20" si="6">ROUND(E20/$F$7,2)</f>
        <v>0</v>
      </c>
      <c r="G20" s="8">
        <f t="shared" ref="G20" si="7">ROUND(E20*$K$3,2)</f>
        <v>0</v>
      </c>
      <c r="H20" s="8">
        <f t="shared" ref="H20" si="8">E20+G20</f>
        <v>0</v>
      </c>
      <c r="I20" s="8">
        <f t="shared" ref="I20" si="9">ROUND(G20/$F$7,2)+F20</f>
        <v>0</v>
      </c>
    </row>
    <row r="21" spans="1:9" ht="11.1" customHeight="1" x14ac:dyDescent="0.25">
      <c r="A21" s="44"/>
      <c r="B21" s="55"/>
      <c r="C21" s="268" t="s">
        <v>685</v>
      </c>
      <c r="D21" s="269"/>
      <c r="E21" s="8">
        <f>'(1)F1 Bel'!H20</f>
        <v>0</v>
      </c>
      <c r="F21" s="8">
        <f t="shared" si="2"/>
        <v>0</v>
      </c>
      <c r="G21" s="8">
        <f t="shared" si="3"/>
        <v>0</v>
      </c>
      <c r="H21" s="8">
        <f t="shared" si="4"/>
        <v>0</v>
      </c>
      <c r="I21" s="8">
        <f t="shared" si="5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'(1)F1 Bel'!C38</f>
        <v>0</v>
      </c>
      <c r="F22" s="8">
        <f>SUM(F23)</f>
        <v>0</v>
      </c>
      <c r="G22" s="8">
        <f t="shared" ref="G22:I22" si="10">SUM(G23)</f>
        <v>0</v>
      </c>
      <c r="H22" s="8">
        <f t="shared" si="10"/>
        <v>0</v>
      </c>
      <c r="I22" s="8">
        <f t="shared" si="10"/>
        <v>0</v>
      </c>
    </row>
    <row r="23" spans="1:9" ht="11.1" customHeight="1" x14ac:dyDescent="0.25">
      <c r="A23" s="44"/>
      <c r="B23" s="115"/>
      <c r="C23" s="268" t="str">
        <f>'(1)F1 Bel'!B40</f>
        <v>LUCRARI DE PROTECTIA MEDIULUI</v>
      </c>
      <c r="D23" s="269"/>
      <c r="E23" s="8">
        <f>'(1)F1 Bel'!H38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1">ROUND(E24/$F$7,2)</f>
        <v>0</v>
      </c>
      <c r="G24" s="8">
        <f t="shared" ref="G24" si="12">ROUND(E24*$K$3,2)</f>
        <v>0</v>
      </c>
      <c r="H24" s="8">
        <f t="shared" ref="H24" si="13">E24+G24</f>
        <v>0</v>
      </c>
      <c r="I24" s="8">
        <f t="shared" ref="I24" si="14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E16+E17+E22+E24</f>
        <v>0</v>
      </c>
      <c r="F25" s="26">
        <f>F16+F17+F22+F24</f>
        <v>0</v>
      </c>
      <c r="G25" s="26">
        <f>G16+G17+G22+G24</f>
        <v>0</v>
      </c>
      <c r="H25" s="26">
        <f>H16+H17+H22+H24</f>
        <v>0</v>
      </c>
      <c r="I25" s="26">
        <f>I16+I17+I22+I24</f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5">ROUND(E27/$F$7,2)</f>
        <v>0</v>
      </c>
      <c r="G27" s="8">
        <f t="shared" ref="G27" si="16">ROUND(E27*$K$3,2)</f>
        <v>0</v>
      </c>
      <c r="H27" s="8">
        <f t="shared" ref="H27" si="17">E27+G27</f>
        <v>0</v>
      </c>
      <c r="I27" s="8">
        <f t="shared" ref="I27" si="18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19">F27</f>
        <v>0</v>
      </c>
      <c r="G28" s="26">
        <f t="shared" si="19"/>
        <v>0</v>
      </c>
      <c r="H28" s="26">
        <f t="shared" si="19"/>
        <v>0</v>
      </c>
      <c r="I28" s="26">
        <f t="shared" si="19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0">SUM(F31:F33)</f>
        <v>0</v>
      </c>
      <c r="G30" s="27">
        <f t="shared" si="20"/>
        <v>0</v>
      </c>
      <c r="H30" s="27">
        <f t="shared" si="20"/>
        <v>0</v>
      </c>
      <c r="I30" s="27">
        <f t="shared" si="20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1">ROUND(E31/$F$7,2)</f>
        <v>0</v>
      </c>
      <c r="G31" s="8">
        <f t="shared" ref="G31:G36" si="22">ROUND(E31*$K$3,2)</f>
        <v>0</v>
      </c>
      <c r="H31" s="8">
        <f t="shared" ref="H31:H36" si="23">E31+G31</f>
        <v>0</v>
      </c>
      <c r="I31" s="8">
        <f t="shared" ref="I31:I36" si="24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1"/>
        <v>0</v>
      </c>
      <c r="G32" s="8">
        <f t="shared" si="22"/>
        <v>0</v>
      </c>
      <c r="H32" s="8">
        <f t="shared" si="23"/>
        <v>0</v>
      </c>
      <c r="I32" s="8">
        <f t="shared" si="24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1"/>
        <v>0</v>
      </c>
      <c r="G33" s="8">
        <f t="shared" si="22"/>
        <v>0</v>
      </c>
      <c r="H33" s="8">
        <f t="shared" si="23"/>
        <v>0</v>
      </c>
      <c r="I33" s="8">
        <f t="shared" si="24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1"/>
        <v>0</v>
      </c>
      <c r="G34" s="8">
        <f t="shared" si="22"/>
        <v>0</v>
      </c>
      <c r="H34" s="8">
        <f t="shared" si="23"/>
        <v>0</v>
      </c>
      <c r="I34" s="8">
        <f t="shared" si="24"/>
        <v>0</v>
      </c>
      <c r="J34" s="7"/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1"/>
        <v>0</v>
      </c>
      <c r="G35" s="8">
        <f t="shared" si="22"/>
        <v>0</v>
      </c>
      <c r="H35" s="8">
        <f t="shared" si="23"/>
        <v>0</v>
      </c>
      <c r="I35" s="8">
        <f t="shared" si="24"/>
        <v>0</v>
      </c>
      <c r="J35" s="7"/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1"/>
        <v>0</v>
      </c>
      <c r="G36" s="8">
        <f t="shared" si="22"/>
        <v>0</v>
      </c>
      <c r="H36" s="8">
        <f t="shared" si="23"/>
        <v>0</v>
      </c>
      <c r="I36" s="8">
        <f t="shared" si="24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5">SUM(F38:F43)</f>
        <v>0</v>
      </c>
      <c r="G37" s="36">
        <f t="shared" si="25"/>
        <v>0</v>
      </c>
      <c r="H37" s="36">
        <f t="shared" si="25"/>
        <v>0</v>
      </c>
      <c r="I37" s="36">
        <f t="shared" si="25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6">ROUND(E38/$F$7,2)</f>
        <v>0</v>
      </c>
      <c r="G38" s="8">
        <f t="shared" ref="G38:G43" si="27">ROUND(E38*$K$3,2)</f>
        <v>0</v>
      </c>
      <c r="H38" s="8">
        <f t="shared" ref="H38:H44" si="28">E38+G38</f>
        <v>0</v>
      </c>
      <c r="I38" s="8">
        <f t="shared" ref="I38:I44" si="29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6"/>
        <v>0</v>
      </c>
      <c r="G39" s="8">
        <f t="shared" si="27"/>
        <v>0</v>
      </c>
      <c r="H39" s="8">
        <f t="shared" si="28"/>
        <v>0</v>
      </c>
      <c r="I39" s="8">
        <f t="shared" si="29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6"/>
        <v>0</v>
      </c>
      <c r="G40" s="8">
        <f t="shared" si="27"/>
        <v>0</v>
      </c>
      <c r="H40" s="8">
        <f t="shared" si="28"/>
        <v>0</v>
      </c>
      <c r="I40" s="8">
        <f t="shared" si="29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6"/>
        <v>0</v>
      </c>
      <c r="G41" s="8">
        <f t="shared" si="27"/>
        <v>0</v>
      </c>
      <c r="H41" s="8">
        <f t="shared" si="28"/>
        <v>0</v>
      </c>
      <c r="I41" s="8">
        <f t="shared" si="29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6"/>
        <v>0</v>
      </c>
      <c r="G42" s="8">
        <f t="shared" si="27"/>
        <v>0</v>
      </c>
      <c r="H42" s="8">
        <f t="shared" si="28"/>
        <v>0</v>
      </c>
      <c r="I42" s="8">
        <f t="shared" si="29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6"/>
        <v>0</v>
      </c>
      <c r="G43" s="8">
        <f t="shared" si="27"/>
        <v>0</v>
      </c>
      <c r="H43" s="8">
        <f t="shared" si="28"/>
        <v>0</v>
      </c>
      <c r="I43" s="8">
        <f t="shared" si="29"/>
        <v>0</v>
      </c>
      <c r="J43" s="7"/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6"/>
        <v>0</v>
      </c>
      <c r="G44" s="8">
        <v>0</v>
      </c>
      <c r="H44" s="8">
        <f t="shared" si="28"/>
        <v>0</v>
      </c>
      <c r="I44" s="8">
        <f t="shared" si="29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13" t="s">
        <v>80</v>
      </c>
      <c r="C46" s="214"/>
      <c r="D46" s="214"/>
      <c r="E46" s="33">
        <f>E47+E48</f>
        <v>0</v>
      </c>
      <c r="F46" s="33">
        <f t="shared" ref="F46:I46" si="30">F47+F48</f>
        <v>0</v>
      </c>
      <c r="G46" s="33">
        <f t="shared" si="30"/>
        <v>0</v>
      </c>
      <c r="H46" s="33">
        <f t="shared" si="30"/>
        <v>0</v>
      </c>
      <c r="I46" s="33">
        <f t="shared" si="30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1">ROUND(E47/$F$7,2)</f>
        <v>0</v>
      </c>
      <c r="G47" s="8">
        <v>0</v>
      </c>
      <c r="H47" s="8">
        <f t="shared" ref="H47:H48" si="32">E47+G47</f>
        <v>0</v>
      </c>
      <c r="I47" s="8">
        <f t="shared" ref="I47:I48" si="33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1"/>
        <v>0</v>
      </c>
      <c r="G48" s="8">
        <f t="shared" ref="G48" si="34">ROUND(E48*$K$3,2)</f>
        <v>0</v>
      </c>
      <c r="H48" s="8">
        <f t="shared" si="32"/>
        <v>0</v>
      </c>
      <c r="I48" s="8">
        <f t="shared" si="33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35">ROUND(E49/$F$7,2)</f>
        <v>0</v>
      </c>
      <c r="G49" s="8">
        <f t="shared" ref="G49" si="36">ROUND(E49*$K$3,2)</f>
        <v>0</v>
      </c>
      <c r="H49" s="8">
        <f t="shared" ref="H49" si="37">E49+G49</f>
        <v>0</v>
      </c>
      <c r="I49" s="8">
        <f t="shared" ref="I49" si="38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39">F51+F54</f>
        <v>0</v>
      </c>
      <c r="G50" s="36">
        <f t="shared" si="39"/>
        <v>0</v>
      </c>
      <c r="H50" s="36">
        <f t="shared" si="39"/>
        <v>0</v>
      </c>
      <c r="I50" s="36">
        <f t="shared" si="39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0">F53+F52</f>
        <v>0</v>
      </c>
      <c r="G51" s="36">
        <f t="shared" si="40"/>
        <v>0</v>
      </c>
      <c r="H51" s="36">
        <f t="shared" si="40"/>
        <v>0</v>
      </c>
      <c r="I51" s="36">
        <f t="shared" si="40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1">ROUND(E52/$F$7,2)</f>
        <v>0</v>
      </c>
      <c r="G52" s="8">
        <f t="shared" ref="G52:G53" si="42">ROUND(E52*$K$3,2)</f>
        <v>0</v>
      </c>
      <c r="H52" s="8">
        <f t="shared" ref="H52:H54" si="43">E52+G52</f>
        <v>0</v>
      </c>
      <c r="I52" s="8">
        <f t="shared" ref="I52:I54" si="44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41"/>
        <v>0</v>
      </c>
      <c r="G53" s="8">
        <f t="shared" si="42"/>
        <v>0</v>
      </c>
      <c r="H53" s="8">
        <f t="shared" si="43"/>
        <v>0</v>
      </c>
      <c r="I53" s="8">
        <f t="shared" si="44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1"/>
        <v>0</v>
      </c>
      <c r="G54" s="8">
        <v>0</v>
      </c>
      <c r="H54" s="8">
        <f t="shared" si="43"/>
        <v>0</v>
      </c>
      <c r="I54" s="8">
        <f t="shared" si="44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" si="45">ROUND(E57/$F$7,2)</f>
        <v>0</v>
      </c>
      <c r="G57" s="9">
        <f t="shared" ref="G57" si="46">ROUND(E57*$K$3,2)</f>
        <v>0</v>
      </c>
      <c r="H57" s="9">
        <f t="shared" ref="H57" si="47">E57+G57</f>
        <v>0</v>
      </c>
      <c r="I57" s="9">
        <f t="shared" ref="I57" si="48">ROUND(G57/$F$7,2)+F57</f>
        <v>0</v>
      </c>
    </row>
    <row r="58" spans="1:10" ht="12" customHeight="1" x14ac:dyDescent="0.25">
      <c r="A58" s="46"/>
      <c r="B58" s="28"/>
      <c r="C58" s="268" t="s">
        <v>682</v>
      </c>
      <c r="D58" s="269"/>
      <c r="E58" s="33">
        <f>'(1)F1 Bel'!H53</f>
        <v>0</v>
      </c>
      <c r="F58" s="8">
        <f t="shared" ref="F58:F63" si="49">ROUND(E58/$F$7,2)</f>
        <v>0</v>
      </c>
      <c r="G58" s="8">
        <f t="shared" ref="G58:G63" si="50">ROUND(E58*$K$3,2)</f>
        <v>0</v>
      </c>
      <c r="H58" s="8">
        <f t="shared" ref="H58:H63" si="51">E58+G58</f>
        <v>0</v>
      </c>
      <c r="I58" s="8">
        <f t="shared" ref="I58:I63" si="52">ROUND(G58/$F$7,2)+F58</f>
        <v>0</v>
      </c>
    </row>
    <row r="59" spans="1:10" ht="12" customHeight="1" x14ac:dyDescent="0.25">
      <c r="A59" s="46"/>
      <c r="B59" s="28"/>
      <c r="C59" s="268" t="s">
        <v>683</v>
      </c>
      <c r="D59" s="269"/>
      <c r="E59" s="33">
        <f>'(1)F1 Bel'!H54</f>
        <v>0</v>
      </c>
      <c r="F59" s="8">
        <f t="shared" si="49"/>
        <v>0</v>
      </c>
      <c r="G59" s="8">
        <f t="shared" si="50"/>
        <v>0</v>
      </c>
      <c r="H59" s="8">
        <f t="shared" si="51"/>
        <v>0</v>
      </c>
      <c r="I59" s="8">
        <f t="shared" si="52"/>
        <v>0</v>
      </c>
    </row>
    <row r="60" spans="1:10" ht="12" customHeight="1" x14ac:dyDescent="0.25">
      <c r="A60" s="46"/>
      <c r="B60" s="28"/>
      <c r="C60" s="268" t="s">
        <v>684</v>
      </c>
      <c r="D60" s="269"/>
      <c r="E60" s="33">
        <f>'(1)F1 Bel'!H55</f>
        <v>0</v>
      </c>
      <c r="F60" s="8">
        <f t="shared" si="49"/>
        <v>0</v>
      </c>
      <c r="G60" s="8">
        <f t="shared" si="50"/>
        <v>0</v>
      </c>
      <c r="H60" s="8">
        <f t="shared" si="51"/>
        <v>0</v>
      </c>
      <c r="I60" s="8">
        <f t="shared" si="52"/>
        <v>0</v>
      </c>
    </row>
    <row r="61" spans="1:10" ht="12" customHeight="1" x14ac:dyDescent="0.25">
      <c r="A61" s="46"/>
      <c r="B61" s="28"/>
      <c r="C61" s="268" t="s">
        <v>685</v>
      </c>
      <c r="D61" s="269"/>
      <c r="E61" s="33">
        <f>'(1)F1 Bel'!H56</f>
        <v>0</v>
      </c>
      <c r="F61" s="8">
        <f t="shared" si="49"/>
        <v>0</v>
      </c>
      <c r="G61" s="8">
        <f t="shared" si="50"/>
        <v>0</v>
      </c>
      <c r="H61" s="8">
        <f t="shared" si="51"/>
        <v>0</v>
      </c>
      <c r="I61" s="8">
        <f t="shared" si="52"/>
        <v>0</v>
      </c>
    </row>
    <row r="62" spans="1:10" x14ac:dyDescent="0.25">
      <c r="A62" s="40"/>
      <c r="B62" s="107"/>
      <c r="C62" s="270" t="s">
        <v>158</v>
      </c>
      <c r="D62" s="271"/>
      <c r="E62" s="8">
        <f>'(1)F1 Bel'!H57</f>
        <v>0</v>
      </c>
      <c r="F62" s="8">
        <f t="shared" si="49"/>
        <v>0</v>
      </c>
      <c r="G62" s="8">
        <f t="shared" si="50"/>
        <v>0</v>
      </c>
      <c r="H62" s="8">
        <f t="shared" si="51"/>
        <v>0</v>
      </c>
      <c r="I62" s="8">
        <f t="shared" si="52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9"/>
        <v>0</v>
      </c>
      <c r="G63" s="9">
        <f t="shared" si="50"/>
        <v>0</v>
      </c>
      <c r="H63" s="9">
        <f t="shared" si="51"/>
        <v>0</v>
      </c>
      <c r="I63" s="9">
        <f t="shared" si="52"/>
        <v>0</v>
      </c>
    </row>
    <row r="64" spans="1:10" x14ac:dyDescent="0.25">
      <c r="A64" s="46"/>
      <c r="B64" s="28"/>
      <c r="C64" s="268" t="s">
        <v>682</v>
      </c>
      <c r="D64" s="269"/>
      <c r="E64" s="33">
        <f>'(1)F1 Bel'!H94</f>
        <v>0</v>
      </c>
      <c r="F64" s="8">
        <f t="shared" ref="F64:F72" si="53">ROUND(E64/$F$7,2)</f>
        <v>0</v>
      </c>
      <c r="G64" s="8">
        <f t="shared" ref="G64:G72" si="54">ROUND(E64*$K$3,2)</f>
        <v>0</v>
      </c>
      <c r="H64" s="8">
        <f t="shared" ref="H64:H72" si="55">E64+G64</f>
        <v>0</v>
      </c>
      <c r="I64" s="8">
        <f t="shared" ref="I64:I72" si="56">ROUND(G64/$F$7,2)+F64</f>
        <v>0</v>
      </c>
    </row>
    <row r="65" spans="1:10" x14ac:dyDescent="0.25">
      <c r="A65" s="46"/>
      <c r="B65" s="28"/>
      <c r="C65" s="268" t="s">
        <v>683</v>
      </c>
      <c r="D65" s="269"/>
      <c r="E65" s="33">
        <f>'(1)F1 Bel'!H95</f>
        <v>0</v>
      </c>
      <c r="F65" s="8">
        <f t="shared" si="53"/>
        <v>0</v>
      </c>
      <c r="G65" s="8">
        <f t="shared" si="54"/>
        <v>0</v>
      </c>
      <c r="H65" s="8">
        <f t="shared" si="55"/>
        <v>0</v>
      </c>
      <c r="I65" s="8">
        <f t="shared" si="56"/>
        <v>0</v>
      </c>
    </row>
    <row r="66" spans="1:10" x14ac:dyDescent="0.25">
      <c r="A66" s="46"/>
      <c r="B66" s="28"/>
      <c r="C66" s="268" t="s">
        <v>684</v>
      </c>
      <c r="D66" s="269"/>
      <c r="E66" s="33">
        <f>'(1)F1 Bel'!H96</f>
        <v>0</v>
      </c>
      <c r="F66" s="8">
        <f t="shared" si="53"/>
        <v>0</v>
      </c>
      <c r="G66" s="8">
        <f t="shared" si="54"/>
        <v>0</v>
      </c>
      <c r="H66" s="8">
        <f t="shared" si="55"/>
        <v>0</v>
      </c>
      <c r="I66" s="8">
        <f t="shared" si="56"/>
        <v>0</v>
      </c>
    </row>
    <row r="67" spans="1:10" x14ac:dyDescent="0.25">
      <c r="A67" s="46"/>
      <c r="B67" s="28"/>
      <c r="C67" s="268" t="s">
        <v>685</v>
      </c>
      <c r="D67" s="269"/>
      <c r="E67" s="33">
        <f>'(1)F1 Bel'!H97</f>
        <v>0</v>
      </c>
      <c r="F67" s="8">
        <f t="shared" si="53"/>
        <v>0</v>
      </c>
      <c r="G67" s="8">
        <f t="shared" si="54"/>
        <v>0</v>
      </c>
      <c r="H67" s="8">
        <f t="shared" si="55"/>
        <v>0</v>
      </c>
      <c r="I67" s="8">
        <f t="shared" si="56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SUM(E69:E72)</f>
        <v>0</v>
      </c>
      <c r="F68" s="9">
        <f t="shared" si="53"/>
        <v>0</v>
      </c>
      <c r="G68" s="9">
        <f t="shared" si="54"/>
        <v>0</v>
      </c>
      <c r="H68" s="9">
        <f t="shared" si="55"/>
        <v>0</v>
      </c>
      <c r="I68" s="9">
        <f t="shared" si="56"/>
        <v>0</v>
      </c>
    </row>
    <row r="69" spans="1:10" ht="10.95" customHeight="1" x14ac:dyDescent="0.25">
      <c r="A69" s="46"/>
      <c r="B69" s="28"/>
      <c r="C69" s="268" t="s">
        <v>682</v>
      </c>
      <c r="D69" s="269"/>
      <c r="E69" s="33">
        <f>'(1)F1 Bel'!H110</f>
        <v>0</v>
      </c>
      <c r="F69" s="8">
        <f t="shared" si="53"/>
        <v>0</v>
      </c>
      <c r="G69" s="8">
        <f t="shared" si="54"/>
        <v>0</v>
      </c>
      <c r="H69" s="8">
        <f t="shared" si="55"/>
        <v>0</v>
      </c>
      <c r="I69" s="8">
        <f t="shared" si="56"/>
        <v>0</v>
      </c>
    </row>
    <row r="70" spans="1:10" ht="10.95" customHeight="1" x14ac:dyDescent="0.25">
      <c r="A70" s="46"/>
      <c r="B70" s="28"/>
      <c r="C70" s="268" t="s">
        <v>683</v>
      </c>
      <c r="D70" s="269"/>
      <c r="E70" s="33">
        <f>'(1)F1 Bel'!H111</f>
        <v>0</v>
      </c>
      <c r="F70" s="8">
        <f t="shared" si="53"/>
        <v>0</v>
      </c>
      <c r="G70" s="8">
        <f t="shared" si="54"/>
        <v>0</v>
      </c>
      <c r="H70" s="8">
        <f t="shared" si="55"/>
        <v>0</v>
      </c>
      <c r="I70" s="8">
        <f t="shared" si="56"/>
        <v>0</v>
      </c>
    </row>
    <row r="71" spans="1:10" ht="10.95" customHeight="1" x14ac:dyDescent="0.25">
      <c r="A71" s="46"/>
      <c r="B71" s="28"/>
      <c r="C71" s="268" t="s">
        <v>684</v>
      </c>
      <c r="D71" s="269"/>
      <c r="E71" s="33">
        <f>'(1)F1 Bel'!H112</f>
        <v>0</v>
      </c>
      <c r="F71" s="8">
        <f t="shared" si="53"/>
        <v>0</v>
      </c>
      <c r="G71" s="8">
        <f t="shared" si="54"/>
        <v>0</v>
      </c>
      <c r="H71" s="8">
        <f t="shared" si="55"/>
        <v>0</v>
      </c>
      <c r="I71" s="8">
        <f t="shared" si="56"/>
        <v>0</v>
      </c>
    </row>
    <row r="72" spans="1:10" ht="10.95" customHeight="1" x14ac:dyDescent="0.25">
      <c r="A72" s="46"/>
      <c r="B72" s="28"/>
      <c r="C72" s="268" t="s">
        <v>685</v>
      </c>
      <c r="D72" s="269"/>
      <c r="E72" s="33">
        <f>'(1)F1 Bel'!H113</f>
        <v>0</v>
      </c>
      <c r="F72" s="8">
        <f t="shared" si="53"/>
        <v>0</v>
      </c>
      <c r="G72" s="8">
        <f t="shared" si="54"/>
        <v>0</v>
      </c>
      <c r="H72" s="8">
        <f t="shared" si="55"/>
        <v>0</v>
      </c>
      <c r="I72" s="8">
        <f t="shared" si="56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5" si="57">ROUND(E73/$F$7,2)</f>
        <v>0</v>
      </c>
      <c r="G73" s="8">
        <f t="shared" ref="G73:G75" si="58">ROUND(E73*$K$3,2)</f>
        <v>0</v>
      </c>
      <c r="H73" s="8">
        <f t="shared" ref="H73:H75" si="59">E73+G73</f>
        <v>0</v>
      </c>
      <c r="I73" s="8">
        <f t="shared" ref="I73:I75" si="60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57"/>
        <v>0</v>
      </c>
      <c r="G74" s="8">
        <f t="shared" si="58"/>
        <v>0</v>
      </c>
      <c r="H74" s="8">
        <f t="shared" si="59"/>
        <v>0</v>
      </c>
      <c r="I74" s="8">
        <f t="shared" si="60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57"/>
        <v>0</v>
      </c>
      <c r="G75" s="8">
        <f t="shared" si="58"/>
        <v>0</v>
      </c>
      <c r="H75" s="8">
        <f t="shared" si="59"/>
        <v>0</v>
      </c>
      <c r="I75" s="8">
        <f t="shared" si="60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61">SUM(F79:F80)</f>
        <v>0</v>
      </c>
      <c r="G78" s="29">
        <f t="shared" si="61"/>
        <v>0</v>
      </c>
      <c r="H78" s="29">
        <f t="shared" si="61"/>
        <v>0</v>
      </c>
      <c r="I78" s="29">
        <f t="shared" si="61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62">ROUND(E79/$F$7,2)</f>
        <v>0</v>
      </c>
      <c r="G79" s="8">
        <f t="shared" ref="G79:G80" si="63">ROUND(E79*$K$3,2)</f>
        <v>0</v>
      </c>
      <c r="H79" s="8">
        <f t="shared" ref="H79:H80" si="64">E79+G79</f>
        <v>0</v>
      </c>
      <c r="I79" s="8">
        <f t="shared" ref="I79:I80" si="65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62"/>
        <v>0</v>
      </c>
      <c r="G80" s="8">
        <f t="shared" si="63"/>
        <v>0</v>
      </c>
      <c r="H80" s="8">
        <f t="shared" si="64"/>
        <v>0</v>
      </c>
      <c r="I80" s="8">
        <f t="shared" si="65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66">SUM(F82:F86)</f>
        <v>0</v>
      </c>
      <c r="G81" s="27">
        <f t="shared" si="66"/>
        <v>0</v>
      </c>
      <c r="H81" s="27">
        <f t="shared" si="66"/>
        <v>0</v>
      </c>
      <c r="I81" s="27">
        <f t="shared" si="66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67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68">ROUND(E83/$F$7,2)</f>
        <v>0</v>
      </c>
      <c r="G83" s="8">
        <v>0</v>
      </c>
      <c r="H83" s="8">
        <f t="shared" ref="H83:H88" si="69">E83+G83</f>
        <v>0</v>
      </c>
      <c r="I83" s="8">
        <f t="shared" ref="I83:I88" si="70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68"/>
        <v>0</v>
      </c>
      <c r="G84" s="8">
        <v>0</v>
      </c>
      <c r="H84" s="8">
        <f t="shared" si="69"/>
        <v>0</v>
      </c>
      <c r="I84" s="8">
        <f t="shared" si="70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68"/>
        <v>0</v>
      </c>
      <c r="G85" s="8">
        <v>0</v>
      </c>
      <c r="H85" s="8">
        <f t="shared" si="69"/>
        <v>0</v>
      </c>
      <c r="I85" s="8">
        <f t="shared" si="70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68"/>
        <v>0</v>
      </c>
      <c r="G86" s="8">
        <f>E86*0</f>
        <v>0</v>
      </c>
      <c r="H86" s="8">
        <f t="shared" si="69"/>
        <v>0</v>
      </c>
      <c r="I86" s="8">
        <f t="shared" si="70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68"/>
        <v>0</v>
      </c>
      <c r="G87" s="8">
        <f t="shared" ref="G87:G88" si="71">ROUND(E87*$K$3,2)</f>
        <v>0</v>
      </c>
      <c r="H87" s="8">
        <f t="shared" si="69"/>
        <v>0</v>
      </c>
      <c r="I87" s="8">
        <f t="shared" si="70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68"/>
        <v>0</v>
      </c>
      <c r="G88" s="8">
        <f t="shared" si="71"/>
        <v>0</v>
      </c>
      <c r="H88" s="8">
        <f t="shared" si="69"/>
        <v>0</v>
      </c>
      <c r="I88" s="8">
        <f t="shared" si="70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72">F78+F81+F87+F88</f>
        <v>0</v>
      </c>
      <c r="G89" s="31">
        <f t="shared" si="72"/>
        <v>0</v>
      </c>
      <c r="H89" s="31">
        <f t="shared" si="72"/>
        <v>0</v>
      </c>
      <c r="I89" s="31">
        <f t="shared" si="72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73">ROUND(E91/$F$7,2)</f>
        <v>0</v>
      </c>
      <c r="G91" s="8">
        <f t="shared" ref="G91" si="74">ROUND(E91*$K$3,2)</f>
        <v>0</v>
      </c>
      <c r="H91" s="8">
        <f t="shared" ref="H91:H92" si="75">E91+G91</f>
        <v>0</v>
      </c>
      <c r="I91" s="8">
        <f t="shared" ref="I91:I92" si="76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73"/>
        <v>0</v>
      </c>
      <c r="G92" s="8">
        <v>0</v>
      </c>
      <c r="H92" s="8">
        <f t="shared" si="75"/>
        <v>0</v>
      </c>
      <c r="I92" s="8">
        <f t="shared" si="76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77">SUM(F91:F92)</f>
        <v>0</v>
      </c>
      <c r="G93" s="30">
        <f t="shared" si="77"/>
        <v>0</v>
      </c>
      <c r="H93" s="30">
        <f t="shared" si="77"/>
        <v>0</v>
      </c>
      <c r="I93" s="30">
        <f t="shared" si="77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78">E95/4.9</f>
        <v>0</v>
      </c>
      <c r="G95" s="21">
        <f t="shared" ref="G95:G96" si="79">E95*0.19</f>
        <v>0</v>
      </c>
      <c r="H95" s="21">
        <f t="shared" ref="H95:H96" si="80">E95+G95</f>
        <v>0</v>
      </c>
      <c r="I95" s="21">
        <f t="shared" ref="I95:I96" si="81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78"/>
        <v>0</v>
      </c>
      <c r="G96" s="21">
        <f t="shared" si="79"/>
        <v>0</v>
      </c>
      <c r="H96" s="21">
        <f t="shared" si="80"/>
        <v>0</v>
      </c>
      <c r="I96" s="21">
        <f t="shared" si="81"/>
        <v>0</v>
      </c>
      <c r="M96" s="1" t="s">
        <v>156</v>
      </c>
      <c r="N96" s="54">
        <f>SUM(N93:N95)</f>
        <v>0</v>
      </c>
      <c r="O96" s="127">
        <f>N96-'(1)F1 Bel'!C131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93:D93"/>
    <mergeCell ref="A94:D94"/>
    <mergeCell ref="A95:D95"/>
    <mergeCell ref="C85:D85"/>
    <mergeCell ref="C86:D86"/>
    <mergeCell ref="C88:D88"/>
    <mergeCell ref="C89:D89"/>
    <mergeCell ref="C91:D91"/>
    <mergeCell ref="C92:D92"/>
    <mergeCell ref="C84:D84"/>
    <mergeCell ref="C57:D57"/>
    <mergeCell ref="C63:D63"/>
    <mergeCell ref="C73:D73"/>
    <mergeCell ref="C74:D74"/>
    <mergeCell ref="C75:D75"/>
    <mergeCell ref="C76:D76"/>
    <mergeCell ref="B77:D77"/>
    <mergeCell ref="C78:D78"/>
    <mergeCell ref="C79:D79"/>
    <mergeCell ref="C82:D82"/>
    <mergeCell ref="C83:D83"/>
    <mergeCell ref="C58:D58"/>
    <mergeCell ref="C59:D59"/>
    <mergeCell ref="C60:D60"/>
    <mergeCell ref="C61:D61"/>
    <mergeCell ref="C55:D55"/>
    <mergeCell ref="B44:D44"/>
    <mergeCell ref="B45:D45"/>
    <mergeCell ref="B46:D46"/>
    <mergeCell ref="B49:D49"/>
    <mergeCell ref="B50:D50"/>
    <mergeCell ref="B51:D51"/>
    <mergeCell ref="B52:D52"/>
    <mergeCell ref="B53:D53"/>
    <mergeCell ref="B54:D54"/>
    <mergeCell ref="C47:D47"/>
    <mergeCell ref="C48:D48"/>
    <mergeCell ref="C30:D30"/>
    <mergeCell ref="B43:D43"/>
    <mergeCell ref="C32:D32"/>
    <mergeCell ref="C33:D33"/>
    <mergeCell ref="C34:D34"/>
    <mergeCell ref="C35:D35"/>
    <mergeCell ref="C36:D36"/>
    <mergeCell ref="B37:D37"/>
    <mergeCell ref="B38:D38"/>
    <mergeCell ref="B39:D39"/>
    <mergeCell ref="B40:D40"/>
    <mergeCell ref="B41:D41"/>
    <mergeCell ref="B42:D42"/>
    <mergeCell ref="C20:D20"/>
    <mergeCell ref="B26:D26"/>
    <mergeCell ref="C27:D27"/>
    <mergeCell ref="C28:D28"/>
    <mergeCell ref="B29:D29"/>
    <mergeCell ref="B13:D13"/>
    <mergeCell ref="C14:D14"/>
    <mergeCell ref="B15:D15"/>
    <mergeCell ref="C16:D16"/>
    <mergeCell ref="C17:D17"/>
    <mergeCell ref="A8:C8"/>
    <mergeCell ref="H8:I8"/>
    <mergeCell ref="B9:D12"/>
    <mergeCell ref="E9:F11"/>
    <mergeCell ref="G9:G11"/>
    <mergeCell ref="H9:I10"/>
    <mergeCell ref="H11:I11"/>
    <mergeCell ref="C7:D7"/>
    <mergeCell ref="F1:G1"/>
    <mergeCell ref="A2:C2"/>
    <mergeCell ref="A3:I3"/>
    <mergeCell ref="A4:I4"/>
    <mergeCell ref="A5:I5"/>
    <mergeCell ref="A6:I6"/>
    <mergeCell ref="A96:D96"/>
    <mergeCell ref="C18:D18"/>
    <mergeCell ref="C21:D21"/>
    <mergeCell ref="C23:D23"/>
    <mergeCell ref="C69:D69"/>
    <mergeCell ref="C70:D70"/>
    <mergeCell ref="C71:D71"/>
    <mergeCell ref="C72:D72"/>
    <mergeCell ref="C62:D62"/>
    <mergeCell ref="C64:D64"/>
    <mergeCell ref="C65:D65"/>
    <mergeCell ref="C66:D66"/>
    <mergeCell ref="C67:D67"/>
    <mergeCell ref="C31:D31"/>
    <mergeCell ref="C25:D25"/>
    <mergeCell ref="C19:D19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73:I81 F37:I37 F45:I45 F22:I22" formula="1"/>
    <ignoredError sqref="E6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8169C-EE79-4DBD-A975-539F8208E1FE}">
  <dimension ref="A1:O100"/>
  <sheetViews>
    <sheetView view="pageBreakPreview" topLeftCell="A91" zoomScale="170" zoomScaleNormal="100" zoomScaleSheetLayoutView="17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3.59765625" style="1" customWidth="1"/>
    <col min="13" max="13" width="13.09765625" style="1" customWidth="1"/>
    <col min="14" max="14" width="12" style="1" customWidth="1"/>
    <col min="15" max="15" width="13.0976562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DG!D77</f>
        <v>Statia 20 kV Tabara, jud. IS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" si="2">ROUND(E17/$F$7,2)</f>
        <v>0</v>
      </c>
      <c r="G17" s="9">
        <f t="shared" ref="G17" si="3">ROUND(E17*$K$3,2)</f>
        <v>0</v>
      </c>
      <c r="H17" s="9">
        <f t="shared" ref="H17" si="4">E17+G17</f>
        <v>0</v>
      </c>
      <c r="I17" s="9">
        <f t="shared" ref="I17" si="5">ROUND(G17/$F$7,2)+F17</f>
        <v>0</v>
      </c>
    </row>
    <row r="18" spans="1:9" ht="11.1" customHeight="1" x14ac:dyDescent="0.25">
      <c r="A18" s="44"/>
      <c r="B18" s="55"/>
      <c r="C18" s="268" t="s">
        <v>682</v>
      </c>
      <c r="D18" s="269"/>
      <c r="E18" s="8">
        <f>'(2)F1 Tab'!H16</f>
        <v>0</v>
      </c>
      <c r="F18" s="8">
        <f t="shared" ref="F18:F21" si="6">ROUND(E18/$F$7,2)</f>
        <v>0</v>
      </c>
      <c r="G18" s="8">
        <f t="shared" ref="G18:G21" si="7">ROUND(E18*$K$3,2)</f>
        <v>0</v>
      </c>
      <c r="H18" s="8">
        <f t="shared" ref="H18:H21" si="8">E18+G18</f>
        <v>0</v>
      </c>
      <c r="I18" s="8">
        <f t="shared" ref="I18:I21" si="9">ROUND(G18/$F$7,2)+F18</f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'(2)F1 Tab'!H17</f>
        <v>0</v>
      </c>
      <c r="F19" s="8">
        <f t="shared" si="6"/>
        <v>0</v>
      </c>
      <c r="G19" s="8">
        <f t="shared" si="7"/>
        <v>0</v>
      </c>
      <c r="H19" s="8">
        <f t="shared" si="8"/>
        <v>0</v>
      </c>
      <c r="I19" s="8">
        <f t="shared" si="9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'(2)F1 Tab'!H18</f>
        <v>0</v>
      </c>
      <c r="F20" s="8">
        <f t="shared" ref="F20" si="10">ROUND(E20/$F$7,2)</f>
        <v>0</v>
      </c>
      <c r="G20" s="8">
        <f t="shared" ref="G20" si="11">ROUND(E20*$K$3,2)</f>
        <v>0</v>
      </c>
      <c r="H20" s="8">
        <f t="shared" ref="H20" si="12">E20+G20</f>
        <v>0</v>
      </c>
      <c r="I20" s="8">
        <f t="shared" ref="I20" si="13">ROUND(G20/$F$7,2)+F20</f>
        <v>0</v>
      </c>
    </row>
    <row r="21" spans="1:9" ht="9.75" customHeight="1" x14ac:dyDescent="0.25">
      <c r="A21" s="44"/>
      <c r="B21" s="55"/>
      <c r="C21" s="268" t="s">
        <v>685</v>
      </c>
      <c r="D21" s="269"/>
      <c r="E21" s="8">
        <f>'(2)F1 Tab'!H19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'(2)F1 Tab'!C27</f>
        <v>0</v>
      </c>
      <c r="F22" s="9">
        <f>SUM(F23)</f>
        <v>0</v>
      </c>
      <c r="G22" s="9">
        <f t="shared" ref="G22:I22" si="14">SUM(G23)</f>
        <v>0</v>
      </c>
      <c r="H22" s="9">
        <f t="shared" si="14"/>
        <v>0</v>
      </c>
      <c r="I22" s="9">
        <f t="shared" si="14"/>
        <v>0</v>
      </c>
    </row>
    <row r="23" spans="1:9" ht="11.1" customHeight="1" x14ac:dyDescent="0.25">
      <c r="A23" s="44"/>
      <c r="B23" s="115"/>
      <c r="C23" s="272" t="str">
        <f>'(2)F1 Tab'!B29</f>
        <v>LUCRARI DE PROTECTIA MEDIULUI</v>
      </c>
      <c r="D23" s="273"/>
      <c r="E23" s="8">
        <f>'(2)F1 Tab'!C29</f>
        <v>0</v>
      </c>
      <c r="F23" s="8">
        <f t="shared" ref="F23" si="15">ROUND(E23/$F$7,2)</f>
        <v>0</v>
      </c>
      <c r="G23" s="8">
        <f t="shared" ref="G23" si="16">ROUND(E23*$K$3,2)</f>
        <v>0</v>
      </c>
      <c r="H23" s="8">
        <f t="shared" ref="H23" si="17">E23+G23</f>
        <v>0</v>
      </c>
      <c r="I23" s="8">
        <f t="shared" ref="I23" si="18">ROUND(G23/$F$7,2)+F23</f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9">ROUND(E24/$F$7,2)</f>
        <v>0</v>
      </c>
      <c r="G24" s="8">
        <f t="shared" ref="G24" si="20">ROUND(E24*$K$3,2)</f>
        <v>0</v>
      </c>
      <c r="H24" s="8">
        <f t="shared" ref="H24" si="21">E24+G24</f>
        <v>0</v>
      </c>
      <c r="I24" s="8">
        <f t="shared" ref="I24" si="22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>F16++F17+F22+F24</f>
        <v>0</v>
      </c>
      <c r="G25" s="26">
        <f>G16++G17+G22+G24</f>
        <v>0</v>
      </c>
      <c r="H25" s="26">
        <f>H16++H17+H22+H24</f>
        <v>0</v>
      </c>
      <c r="I25" s="26">
        <f>I16++I17+I22+I24</f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23">ROUND(E27/$F$7,2)</f>
        <v>0</v>
      </c>
      <c r="G27" s="8">
        <f t="shared" ref="G27" si="24">ROUND(E27*$K$3,2)</f>
        <v>0</v>
      </c>
      <c r="H27" s="8">
        <f t="shared" ref="H27" si="25">E27+G27</f>
        <v>0</v>
      </c>
      <c r="I27" s="8">
        <f t="shared" ref="I27" si="26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27">F27</f>
        <v>0</v>
      </c>
      <c r="G28" s="26">
        <f t="shared" si="27"/>
        <v>0</v>
      </c>
      <c r="H28" s="26">
        <f t="shared" si="27"/>
        <v>0</v>
      </c>
      <c r="I28" s="26">
        <f t="shared" si="27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8">SUM(F31:F33)</f>
        <v>0</v>
      </c>
      <c r="G30" s="27">
        <f t="shared" si="28"/>
        <v>0</v>
      </c>
      <c r="H30" s="27">
        <f t="shared" si="28"/>
        <v>0</v>
      </c>
      <c r="I30" s="27">
        <f t="shared" si="28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9">ROUND(E31/$F$7,2)</f>
        <v>0</v>
      </c>
      <c r="G31" s="8">
        <f t="shared" ref="G31:G36" si="30">ROUND(E31*$K$3,2)</f>
        <v>0</v>
      </c>
      <c r="H31" s="8">
        <f t="shared" ref="H31:H36" si="31">E31+G31</f>
        <v>0</v>
      </c>
      <c r="I31" s="8">
        <f t="shared" ref="I31:I36" si="32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9"/>
        <v>0</v>
      </c>
      <c r="G32" s="8">
        <f t="shared" si="30"/>
        <v>0</v>
      </c>
      <c r="H32" s="8">
        <f t="shared" si="31"/>
        <v>0</v>
      </c>
      <c r="I32" s="8">
        <f t="shared" si="32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9"/>
        <v>0</v>
      </c>
      <c r="G33" s="8">
        <f t="shared" si="30"/>
        <v>0</v>
      </c>
      <c r="H33" s="8">
        <f t="shared" si="31"/>
        <v>0</v>
      </c>
      <c r="I33" s="8">
        <f t="shared" si="32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9"/>
        <v>0</v>
      </c>
      <c r="G34" s="8">
        <f t="shared" si="30"/>
        <v>0</v>
      </c>
      <c r="H34" s="8">
        <f t="shared" si="31"/>
        <v>0</v>
      </c>
      <c r="I34" s="8">
        <f t="shared" si="32"/>
        <v>0</v>
      </c>
      <c r="J34" s="7">
        <v>1</v>
      </c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9"/>
        <v>0</v>
      </c>
      <c r="G35" s="8">
        <f t="shared" si="30"/>
        <v>0</v>
      </c>
      <c r="H35" s="8">
        <f t="shared" si="31"/>
        <v>0</v>
      </c>
      <c r="I35" s="8">
        <f t="shared" si="32"/>
        <v>0</v>
      </c>
      <c r="J35" s="7">
        <v>0</v>
      </c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9"/>
        <v>0</v>
      </c>
      <c r="G36" s="8">
        <f t="shared" si="30"/>
        <v>0</v>
      </c>
      <c r="H36" s="8">
        <f t="shared" si="31"/>
        <v>0</v>
      </c>
      <c r="I36" s="8">
        <f t="shared" si="32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33">SUM(F38:F43)</f>
        <v>0</v>
      </c>
      <c r="G37" s="36">
        <f t="shared" si="33"/>
        <v>0</v>
      </c>
      <c r="H37" s="36">
        <f t="shared" si="33"/>
        <v>0</v>
      </c>
      <c r="I37" s="36">
        <f t="shared" si="33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34">ROUND(E38/$F$7,2)</f>
        <v>0</v>
      </c>
      <c r="G38" s="8">
        <f t="shared" ref="G38:G43" si="35">ROUND(E38*$K$3,2)</f>
        <v>0</v>
      </c>
      <c r="H38" s="8">
        <f t="shared" ref="H38:H44" si="36">E38+G38</f>
        <v>0</v>
      </c>
      <c r="I38" s="8">
        <f t="shared" ref="I38:I44" si="37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34"/>
        <v>0</v>
      </c>
      <c r="G39" s="8">
        <f t="shared" si="35"/>
        <v>0</v>
      </c>
      <c r="H39" s="8">
        <f t="shared" si="36"/>
        <v>0</v>
      </c>
      <c r="I39" s="8">
        <f t="shared" si="37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34"/>
        <v>0</v>
      </c>
      <c r="G40" s="8">
        <f t="shared" si="35"/>
        <v>0</v>
      </c>
      <c r="H40" s="8">
        <f t="shared" si="36"/>
        <v>0</v>
      </c>
      <c r="I40" s="8">
        <f t="shared" si="37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34"/>
        <v>0</v>
      </c>
      <c r="G41" s="8">
        <f t="shared" si="35"/>
        <v>0</v>
      </c>
      <c r="H41" s="8">
        <f t="shared" si="36"/>
        <v>0</v>
      </c>
      <c r="I41" s="8">
        <f t="shared" si="37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34"/>
        <v>0</v>
      </c>
      <c r="G42" s="8">
        <f t="shared" si="35"/>
        <v>0</v>
      </c>
      <c r="H42" s="8">
        <f t="shared" si="36"/>
        <v>0</v>
      </c>
      <c r="I42" s="8">
        <f t="shared" si="37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34"/>
        <v>0</v>
      </c>
      <c r="G43" s="8">
        <f t="shared" si="35"/>
        <v>0</v>
      </c>
      <c r="H43" s="8">
        <f t="shared" si="36"/>
        <v>0</v>
      </c>
      <c r="I43" s="8">
        <f t="shared" si="37"/>
        <v>0</v>
      </c>
      <c r="J43" s="7">
        <v>4</v>
      </c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34"/>
        <v>0</v>
      </c>
      <c r="G44" s="8">
        <v>0</v>
      </c>
      <c r="H44" s="8">
        <f t="shared" si="36"/>
        <v>0</v>
      </c>
      <c r="I44" s="8">
        <f t="shared" si="37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38">F47+F48</f>
        <v>0</v>
      </c>
      <c r="G46" s="33">
        <f t="shared" si="38"/>
        <v>0</v>
      </c>
      <c r="H46" s="33">
        <f t="shared" si="38"/>
        <v>0</v>
      </c>
      <c r="I46" s="33">
        <f t="shared" si="38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9">ROUND(E47/$F$7,2)</f>
        <v>0</v>
      </c>
      <c r="G47" s="8">
        <v>0</v>
      </c>
      <c r="H47" s="8">
        <f t="shared" ref="H47:H48" si="40">E47+G47</f>
        <v>0</v>
      </c>
      <c r="I47" s="8">
        <f t="shared" ref="I47:I48" si="41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9"/>
        <v>0</v>
      </c>
      <c r="G48" s="8">
        <f t="shared" ref="G48" si="42">ROUND(E48*$K$3,2)</f>
        <v>0</v>
      </c>
      <c r="H48" s="8">
        <f t="shared" si="40"/>
        <v>0</v>
      </c>
      <c r="I48" s="8">
        <f t="shared" si="41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43">ROUND(E49/$F$7,2)</f>
        <v>0</v>
      </c>
      <c r="G49" s="8">
        <f t="shared" ref="G49" si="44">ROUND(E49*$K$3,2)</f>
        <v>0</v>
      </c>
      <c r="H49" s="8">
        <f t="shared" ref="H49" si="45">E49+G49</f>
        <v>0</v>
      </c>
      <c r="I49" s="8">
        <f t="shared" ref="I49" si="46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47">F51+F54</f>
        <v>0</v>
      </c>
      <c r="G50" s="36">
        <f t="shared" si="47"/>
        <v>0</v>
      </c>
      <c r="H50" s="36">
        <f t="shared" si="47"/>
        <v>0</v>
      </c>
      <c r="I50" s="36">
        <f t="shared" si="47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8">F53+F52</f>
        <v>0</v>
      </c>
      <c r="G51" s="36">
        <f t="shared" si="48"/>
        <v>0</v>
      </c>
      <c r="H51" s="36">
        <f t="shared" si="48"/>
        <v>0</v>
      </c>
      <c r="I51" s="36">
        <f t="shared" si="48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9">ROUND(E52/$F$7,2)</f>
        <v>0</v>
      </c>
      <c r="G52" s="8">
        <f t="shared" ref="G52:G53" si="50">ROUND(E52*$K$3,2)</f>
        <v>0</v>
      </c>
      <c r="H52" s="8">
        <f t="shared" ref="H52:H54" si="51">E52+G52</f>
        <v>0</v>
      </c>
      <c r="I52" s="8">
        <f t="shared" ref="I52:I54" si="52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49"/>
        <v>0</v>
      </c>
      <c r="G53" s="8">
        <f t="shared" si="50"/>
        <v>0</v>
      </c>
      <c r="H53" s="8">
        <f t="shared" si="51"/>
        <v>0</v>
      </c>
      <c r="I53" s="8">
        <f t="shared" si="52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9"/>
        <v>0</v>
      </c>
      <c r="G54" s="8">
        <v>0</v>
      </c>
      <c r="H54" s="8">
        <f t="shared" si="51"/>
        <v>0</v>
      </c>
      <c r="I54" s="8">
        <f t="shared" si="52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" si="53">ROUND(E57/$F$7,2)</f>
        <v>0</v>
      </c>
      <c r="G57" s="9">
        <f t="shared" ref="G57" si="54">ROUND(E57*$K$3,2)</f>
        <v>0</v>
      </c>
      <c r="H57" s="9">
        <f t="shared" ref="H57" si="55">E57+G57</f>
        <v>0</v>
      </c>
      <c r="I57" s="9">
        <f t="shared" ref="I57" si="56">ROUND(G57/$F$7,2)+F57</f>
        <v>0</v>
      </c>
    </row>
    <row r="58" spans="1:10" ht="12" customHeight="1" x14ac:dyDescent="0.25">
      <c r="A58" s="46"/>
      <c r="B58" s="28"/>
      <c r="C58" s="268" t="s">
        <v>682</v>
      </c>
      <c r="D58" s="269"/>
      <c r="E58" s="33">
        <f>'(2)F1 Tab'!H42</f>
        <v>0</v>
      </c>
      <c r="F58" s="8">
        <f t="shared" ref="F58:F63" si="57">ROUND(E58/$F$7,2)</f>
        <v>0</v>
      </c>
      <c r="G58" s="8">
        <f t="shared" ref="G58:G63" si="58">ROUND(E58*$K$3,2)</f>
        <v>0</v>
      </c>
      <c r="H58" s="8">
        <f t="shared" ref="H58:H63" si="59">E58+G58</f>
        <v>0</v>
      </c>
      <c r="I58" s="8">
        <f t="shared" ref="I58:I63" si="60">ROUND(G58/$F$7,2)+F58</f>
        <v>0</v>
      </c>
    </row>
    <row r="59" spans="1:10" ht="12" customHeight="1" x14ac:dyDescent="0.25">
      <c r="A59" s="46"/>
      <c r="B59" s="28"/>
      <c r="C59" s="268" t="s">
        <v>683</v>
      </c>
      <c r="D59" s="269"/>
      <c r="E59" s="33">
        <f>'(2)F1 Tab'!H43</f>
        <v>0</v>
      </c>
      <c r="F59" s="8">
        <f t="shared" si="57"/>
        <v>0</v>
      </c>
      <c r="G59" s="8">
        <f t="shared" si="58"/>
        <v>0</v>
      </c>
      <c r="H59" s="8">
        <f t="shared" si="59"/>
        <v>0</v>
      </c>
      <c r="I59" s="8">
        <f t="shared" si="60"/>
        <v>0</v>
      </c>
    </row>
    <row r="60" spans="1:10" ht="12" customHeight="1" x14ac:dyDescent="0.25">
      <c r="A60" s="46"/>
      <c r="B60" s="28"/>
      <c r="C60" s="268" t="s">
        <v>684</v>
      </c>
      <c r="D60" s="269"/>
      <c r="E60" s="33">
        <f>'(2)F1 Tab'!H44</f>
        <v>0</v>
      </c>
      <c r="F60" s="8">
        <f t="shared" si="57"/>
        <v>0</v>
      </c>
      <c r="G60" s="8">
        <f t="shared" si="58"/>
        <v>0</v>
      </c>
      <c r="H60" s="8">
        <f t="shared" si="59"/>
        <v>0</v>
      </c>
      <c r="I60" s="8">
        <f t="shared" si="60"/>
        <v>0</v>
      </c>
    </row>
    <row r="61" spans="1:10" ht="12" customHeight="1" x14ac:dyDescent="0.25">
      <c r="A61" s="46"/>
      <c r="B61" s="28"/>
      <c r="C61" s="268" t="s">
        <v>685</v>
      </c>
      <c r="D61" s="269"/>
      <c r="E61" s="33">
        <f>'(2)F1 Tab'!H45</f>
        <v>0</v>
      </c>
      <c r="F61" s="8">
        <f t="shared" si="57"/>
        <v>0</v>
      </c>
      <c r="G61" s="8">
        <f t="shared" si="58"/>
        <v>0</v>
      </c>
      <c r="H61" s="8">
        <f t="shared" si="59"/>
        <v>0</v>
      </c>
      <c r="I61" s="8">
        <f t="shared" si="60"/>
        <v>0</v>
      </c>
    </row>
    <row r="62" spans="1:10" x14ac:dyDescent="0.25">
      <c r="A62" s="40"/>
      <c r="B62" s="107"/>
      <c r="C62" s="270" t="s">
        <v>158</v>
      </c>
      <c r="D62" s="271"/>
      <c r="E62" s="183">
        <f>'(2)F1 Tab'!H46</f>
        <v>0</v>
      </c>
      <c r="F62" s="8">
        <f t="shared" si="57"/>
        <v>0</v>
      </c>
      <c r="G62" s="8">
        <f t="shared" si="58"/>
        <v>0</v>
      </c>
      <c r="H62" s="8">
        <f t="shared" si="59"/>
        <v>0</v>
      </c>
      <c r="I62" s="8">
        <f t="shared" si="60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57"/>
        <v>0</v>
      </c>
      <c r="G63" s="9">
        <f t="shared" si="58"/>
        <v>0</v>
      </c>
      <c r="H63" s="9">
        <f t="shared" si="59"/>
        <v>0</v>
      </c>
      <c r="I63" s="9">
        <f t="shared" si="60"/>
        <v>0</v>
      </c>
    </row>
    <row r="64" spans="1:10" x14ac:dyDescent="0.25">
      <c r="A64" s="46"/>
      <c r="B64" s="28"/>
      <c r="C64" s="268" t="s">
        <v>682</v>
      </c>
      <c r="D64" s="269"/>
      <c r="E64" s="33">
        <f>'(2)F1 Tab'!H65</f>
        <v>0</v>
      </c>
      <c r="F64" s="8">
        <f t="shared" ref="F64:F68" si="61">ROUND(E64/$F$7,2)</f>
        <v>0</v>
      </c>
      <c r="G64" s="8">
        <f t="shared" ref="G64:G68" si="62">ROUND(E64*$K$3,2)</f>
        <v>0</v>
      </c>
      <c r="H64" s="8">
        <f t="shared" ref="H64:H68" si="63">E64+G64</f>
        <v>0</v>
      </c>
      <c r="I64" s="8">
        <f t="shared" ref="I64:I68" si="64">ROUND(G64/$F$7,2)+F64</f>
        <v>0</v>
      </c>
    </row>
    <row r="65" spans="1:10" x14ac:dyDescent="0.25">
      <c r="A65" s="46"/>
      <c r="B65" s="28"/>
      <c r="C65" s="268" t="s">
        <v>683</v>
      </c>
      <c r="D65" s="269"/>
      <c r="E65" s="33">
        <f>'(2)F1 Tab'!H66</f>
        <v>0</v>
      </c>
      <c r="F65" s="8">
        <f t="shared" si="61"/>
        <v>0</v>
      </c>
      <c r="G65" s="8">
        <f t="shared" si="62"/>
        <v>0</v>
      </c>
      <c r="H65" s="8">
        <f t="shared" si="63"/>
        <v>0</v>
      </c>
      <c r="I65" s="8">
        <f t="shared" si="64"/>
        <v>0</v>
      </c>
    </row>
    <row r="66" spans="1:10" x14ac:dyDescent="0.25">
      <c r="A66" s="40"/>
      <c r="B66" s="107"/>
      <c r="C66" s="268" t="s">
        <v>684</v>
      </c>
      <c r="D66" s="269"/>
      <c r="E66" s="8">
        <f>'(2)F1 Tab'!H67</f>
        <v>0</v>
      </c>
      <c r="F66" s="8">
        <f t="shared" si="61"/>
        <v>0</v>
      </c>
      <c r="G66" s="8">
        <f t="shared" si="62"/>
        <v>0</v>
      </c>
      <c r="H66" s="8">
        <f t="shared" si="63"/>
        <v>0</v>
      </c>
      <c r="I66" s="8">
        <f t="shared" si="64"/>
        <v>0</v>
      </c>
    </row>
    <row r="67" spans="1:10" x14ac:dyDescent="0.25">
      <c r="A67" s="40"/>
      <c r="B67" s="107"/>
      <c r="C67" s="268" t="s">
        <v>685</v>
      </c>
      <c r="D67" s="269"/>
      <c r="E67" s="8">
        <f>'(2)F1 Tab'!H68</f>
        <v>0</v>
      </c>
      <c r="F67" s="8">
        <f t="shared" si="61"/>
        <v>0</v>
      </c>
      <c r="G67" s="8">
        <f t="shared" si="62"/>
        <v>0</v>
      </c>
      <c r="H67" s="8">
        <f t="shared" si="63"/>
        <v>0</v>
      </c>
      <c r="I67" s="8">
        <f t="shared" si="64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61"/>
        <v>0</v>
      </c>
      <c r="G68" s="9">
        <f t="shared" si="62"/>
        <v>0</v>
      </c>
      <c r="H68" s="9">
        <f t="shared" si="63"/>
        <v>0</v>
      </c>
      <c r="I68" s="9">
        <f t="shared" si="64"/>
        <v>0</v>
      </c>
    </row>
    <row r="69" spans="1:10" ht="10.95" customHeight="1" x14ac:dyDescent="0.25">
      <c r="A69" s="46"/>
      <c r="B69" s="28"/>
      <c r="C69" s="268" t="s">
        <v>682</v>
      </c>
      <c r="D69" s="269"/>
      <c r="E69" s="33">
        <f>'(2)F1 Tab'!H75</f>
        <v>0</v>
      </c>
      <c r="F69" s="8">
        <f t="shared" ref="F69:F72" si="65">ROUND(E69/$F$7,2)</f>
        <v>0</v>
      </c>
      <c r="G69" s="8">
        <f t="shared" ref="G69:G72" si="66">ROUND(E69*$K$3,2)</f>
        <v>0</v>
      </c>
      <c r="H69" s="8">
        <f t="shared" ref="H69:H72" si="67">E69+G69</f>
        <v>0</v>
      </c>
      <c r="I69" s="8">
        <f t="shared" ref="I69:I72" si="68">ROUND(G69/$F$7,2)+F69</f>
        <v>0</v>
      </c>
    </row>
    <row r="70" spans="1:10" ht="10.95" customHeight="1" x14ac:dyDescent="0.25">
      <c r="A70" s="46"/>
      <c r="B70" s="28"/>
      <c r="C70" s="268" t="s">
        <v>683</v>
      </c>
      <c r="D70" s="269"/>
      <c r="E70" s="33">
        <f>'(2)F1 Tab'!H76</f>
        <v>0</v>
      </c>
      <c r="F70" s="8">
        <f t="shared" si="65"/>
        <v>0</v>
      </c>
      <c r="G70" s="8">
        <f t="shared" si="66"/>
        <v>0</v>
      </c>
      <c r="H70" s="8">
        <f t="shared" si="67"/>
        <v>0</v>
      </c>
      <c r="I70" s="8">
        <f t="shared" si="68"/>
        <v>0</v>
      </c>
    </row>
    <row r="71" spans="1:10" x14ac:dyDescent="0.25">
      <c r="A71" s="53"/>
      <c r="B71" s="114"/>
      <c r="C71" s="268" t="s">
        <v>684</v>
      </c>
      <c r="D71" s="269"/>
      <c r="E71" s="8">
        <f>'(2)F1 Tab'!H77</f>
        <v>0</v>
      </c>
      <c r="F71" s="8">
        <f t="shared" si="65"/>
        <v>0</v>
      </c>
      <c r="G71" s="8">
        <f t="shared" si="66"/>
        <v>0</v>
      </c>
      <c r="H71" s="8">
        <f t="shared" si="67"/>
        <v>0</v>
      </c>
      <c r="I71" s="8">
        <f t="shared" si="68"/>
        <v>0</v>
      </c>
    </row>
    <row r="72" spans="1:10" x14ac:dyDescent="0.25">
      <c r="A72" s="53"/>
      <c r="B72" s="114"/>
      <c r="C72" s="268" t="s">
        <v>685</v>
      </c>
      <c r="D72" s="269"/>
      <c r="E72" s="8">
        <f>'(2)F1 Tab'!H78</f>
        <v>0</v>
      </c>
      <c r="F72" s="8">
        <f t="shared" si="65"/>
        <v>0</v>
      </c>
      <c r="G72" s="8">
        <f t="shared" si="66"/>
        <v>0</v>
      </c>
      <c r="H72" s="8">
        <f t="shared" si="67"/>
        <v>0</v>
      </c>
      <c r="I72" s="8">
        <f t="shared" si="68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5" si="69">ROUND(E73/$F$7,2)</f>
        <v>0</v>
      </c>
      <c r="G73" s="8">
        <f t="shared" ref="G73:G75" si="70">ROUND(E73*$K$3,2)</f>
        <v>0</v>
      </c>
      <c r="H73" s="8">
        <f t="shared" ref="H73:H75" si="71">E73+G73</f>
        <v>0</v>
      </c>
      <c r="I73" s="8">
        <f t="shared" ref="I73:I75" si="72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69"/>
        <v>0</v>
      </c>
      <c r="G74" s="8">
        <f t="shared" si="70"/>
        <v>0</v>
      </c>
      <c r="H74" s="8">
        <f t="shared" si="71"/>
        <v>0</v>
      </c>
      <c r="I74" s="8">
        <f t="shared" si="72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69"/>
        <v>0</v>
      </c>
      <c r="G75" s="8">
        <f t="shared" si="70"/>
        <v>0</v>
      </c>
      <c r="H75" s="8">
        <f t="shared" si="71"/>
        <v>0</v>
      </c>
      <c r="I75" s="8">
        <f t="shared" si="72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73">SUM(F79:F80)</f>
        <v>0</v>
      </c>
      <c r="G78" s="29">
        <f t="shared" si="73"/>
        <v>0</v>
      </c>
      <c r="H78" s="29">
        <f t="shared" si="73"/>
        <v>0</v>
      </c>
      <c r="I78" s="29">
        <f t="shared" si="73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74">ROUND(E79/$F$7,2)</f>
        <v>0</v>
      </c>
      <c r="G79" s="8">
        <f t="shared" ref="G79:G80" si="75">ROUND(E79*$K$3,2)</f>
        <v>0</v>
      </c>
      <c r="H79" s="8">
        <f t="shared" ref="H79:H80" si="76">E79+G79</f>
        <v>0</v>
      </c>
      <c r="I79" s="8">
        <f t="shared" ref="I79:I80" si="77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74"/>
        <v>0</v>
      </c>
      <c r="G80" s="8">
        <f t="shared" si="75"/>
        <v>0</v>
      </c>
      <c r="H80" s="8">
        <f t="shared" si="76"/>
        <v>0</v>
      </c>
      <c r="I80" s="8">
        <f t="shared" si="77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78">SUM(F82:F86)</f>
        <v>0</v>
      </c>
      <c r="G81" s="27">
        <f t="shared" si="78"/>
        <v>0</v>
      </c>
      <c r="H81" s="27">
        <f t="shared" si="78"/>
        <v>0</v>
      </c>
      <c r="I81" s="27">
        <f t="shared" si="78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79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80">ROUND(E83/$F$7,2)</f>
        <v>0</v>
      </c>
      <c r="G83" s="8">
        <v>0</v>
      </c>
      <c r="H83" s="8">
        <f t="shared" ref="H83:H88" si="81">E83+G83</f>
        <v>0</v>
      </c>
      <c r="I83" s="8">
        <f t="shared" ref="I83:I88" si="82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80"/>
        <v>0</v>
      </c>
      <c r="G84" s="8">
        <v>0</v>
      </c>
      <c r="H84" s="8">
        <f t="shared" si="81"/>
        <v>0</v>
      </c>
      <c r="I84" s="8">
        <f t="shared" si="82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80"/>
        <v>0</v>
      </c>
      <c r="G85" s="8">
        <v>0</v>
      </c>
      <c r="H85" s="8">
        <f t="shared" si="81"/>
        <v>0</v>
      </c>
      <c r="I85" s="8">
        <f t="shared" si="82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80"/>
        <v>0</v>
      </c>
      <c r="G86" s="8">
        <f>E86*0</f>
        <v>0</v>
      </c>
      <c r="H86" s="8">
        <f t="shared" si="81"/>
        <v>0</v>
      </c>
      <c r="I86" s="8">
        <f t="shared" si="82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80"/>
        <v>0</v>
      </c>
      <c r="G87" s="8">
        <f t="shared" ref="G87:G88" si="83">ROUND(E87*$K$3,2)</f>
        <v>0</v>
      </c>
      <c r="H87" s="8">
        <f t="shared" si="81"/>
        <v>0</v>
      </c>
      <c r="I87" s="8">
        <f t="shared" si="82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80"/>
        <v>0</v>
      </c>
      <c r="G88" s="8">
        <f t="shared" si="83"/>
        <v>0</v>
      </c>
      <c r="H88" s="8">
        <f t="shared" si="81"/>
        <v>0</v>
      </c>
      <c r="I88" s="8">
        <f t="shared" si="82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84">F78+F81+F87+F88</f>
        <v>0</v>
      </c>
      <c r="G89" s="31">
        <f t="shared" si="84"/>
        <v>0</v>
      </c>
      <c r="H89" s="31">
        <f t="shared" si="84"/>
        <v>0</v>
      </c>
      <c r="I89" s="31">
        <f t="shared" si="84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85">ROUND(E91/$F$7,2)</f>
        <v>0</v>
      </c>
      <c r="G91" s="8">
        <f t="shared" ref="G91" si="86">ROUND(E91*$K$3,2)</f>
        <v>0</v>
      </c>
      <c r="H91" s="8">
        <f t="shared" ref="H91:H92" si="87">E91+G91</f>
        <v>0</v>
      </c>
      <c r="I91" s="8">
        <f t="shared" ref="I91:I92" si="88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85"/>
        <v>0</v>
      </c>
      <c r="G92" s="8">
        <v>0</v>
      </c>
      <c r="H92" s="8">
        <f t="shared" si="87"/>
        <v>0</v>
      </c>
      <c r="I92" s="8">
        <f t="shared" si="88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89">SUM(F91:F92)</f>
        <v>0</v>
      </c>
      <c r="G93" s="30">
        <f t="shared" si="89"/>
        <v>0</v>
      </c>
      <c r="H93" s="30">
        <f t="shared" si="89"/>
        <v>0</v>
      </c>
      <c r="I93" s="30">
        <f t="shared" si="89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90">E95/4.9</f>
        <v>0</v>
      </c>
      <c r="G95" s="21">
        <f t="shared" ref="G95:G96" si="91">E95*0.19</f>
        <v>0</v>
      </c>
      <c r="H95" s="21">
        <f t="shared" ref="H95:H96" si="92">E95+G95</f>
        <v>0</v>
      </c>
      <c r="I95" s="21">
        <f t="shared" ref="I95:I96" si="93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90"/>
        <v>0</v>
      </c>
      <c r="G96" s="21">
        <f t="shared" si="91"/>
        <v>0</v>
      </c>
      <c r="H96" s="21">
        <f t="shared" si="92"/>
        <v>0</v>
      </c>
      <c r="I96" s="21">
        <f t="shared" si="93"/>
        <v>0</v>
      </c>
      <c r="M96" s="1" t="s">
        <v>156</v>
      </c>
      <c r="N96" s="54">
        <f>SUM(N93:N95)</f>
        <v>0</v>
      </c>
      <c r="O96" s="127">
        <f>N96-'(2)F1 Tab'!C90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85:D85"/>
    <mergeCell ref="C86:D86"/>
    <mergeCell ref="C88:D88"/>
    <mergeCell ref="C89:D89"/>
    <mergeCell ref="C91:D91"/>
    <mergeCell ref="C57:D57"/>
    <mergeCell ref="C63:D63"/>
    <mergeCell ref="C73:D73"/>
    <mergeCell ref="C74:D74"/>
    <mergeCell ref="C75:D75"/>
    <mergeCell ref="C70:D70"/>
    <mergeCell ref="C71:D71"/>
    <mergeCell ref="C72:D72"/>
    <mergeCell ref="C59:D59"/>
    <mergeCell ref="C60:D60"/>
    <mergeCell ref="C61:D61"/>
    <mergeCell ref="C62:D62"/>
    <mergeCell ref="C58:D58"/>
    <mergeCell ref="C55:D55"/>
    <mergeCell ref="B44:D44"/>
    <mergeCell ref="B45:D45"/>
    <mergeCell ref="B46:D46"/>
    <mergeCell ref="B49:D49"/>
    <mergeCell ref="B50:D50"/>
    <mergeCell ref="B51:D51"/>
    <mergeCell ref="B52:D52"/>
    <mergeCell ref="B53:D53"/>
    <mergeCell ref="B54:D54"/>
    <mergeCell ref="C47:D47"/>
    <mergeCell ref="C48:D48"/>
    <mergeCell ref="B43:D43"/>
    <mergeCell ref="C32:D32"/>
    <mergeCell ref="C33:D33"/>
    <mergeCell ref="C34:D34"/>
    <mergeCell ref="C35:D35"/>
    <mergeCell ref="C36:D36"/>
    <mergeCell ref="B37:D37"/>
    <mergeCell ref="B38:D38"/>
    <mergeCell ref="B39:D39"/>
    <mergeCell ref="B40:D40"/>
    <mergeCell ref="B41:D41"/>
    <mergeCell ref="B42:D42"/>
    <mergeCell ref="B29:D29"/>
    <mergeCell ref="C30:D30"/>
    <mergeCell ref="C19:D19"/>
    <mergeCell ref="C21:D21"/>
    <mergeCell ref="C7:D7"/>
    <mergeCell ref="B26:D26"/>
    <mergeCell ref="C20:D20"/>
    <mergeCell ref="C18:D18"/>
    <mergeCell ref="C23:D23"/>
    <mergeCell ref="C27:D27"/>
    <mergeCell ref="C28:D28"/>
    <mergeCell ref="F1:G1"/>
    <mergeCell ref="A2:C2"/>
    <mergeCell ref="A3:I3"/>
    <mergeCell ref="A4:I4"/>
    <mergeCell ref="A5:I5"/>
    <mergeCell ref="A6:I6"/>
    <mergeCell ref="A94:D94"/>
    <mergeCell ref="A8:C8"/>
    <mergeCell ref="H8:I8"/>
    <mergeCell ref="B9:D12"/>
    <mergeCell ref="E9:F11"/>
    <mergeCell ref="G9:G11"/>
    <mergeCell ref="H9:I10"/>
    <mergeCell ref="H11:I11"/>
    <mergeCell ref="C31:D31"/>
    <mergeCell ref="B13:D13"/>
    <mergeCell ref="C14:D14"/>
    <mergeCell ref="B15:D15"/>
    <mergeCell ref="C16:D16"/>
    <mergeCell ref="C17:D17"/>
    <mergeCell ref="C25:D25"/>
    <mergeCell ref="A96:D96"/>
    <mergeCell ref="C64:D64"/>
    <mergeCell ref="C65:D65"/>
    <mergeCell ref="C66:D66"/>
    <mergeCell ref="C67:D67"/>
    <mergeCell ref="C69:D69"/>
    <mergeCell ref="C84:D84"/>
    <mergeCell ref="C76:D76"/>
    <mergeCell ref="B77:D77"/>
    <mergeCell ref="C78:D78"/>
    <mergeCell ref="C79:D79"/>
    <mergeCell ref="C82:D82"/>
    <mergeCell ref="C83:D83"/>
    <mergeCell ref="C93:D93"/>
    <mergeCell ref="A95:D95"/>
    <mergeCell ref="C92:D92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22:I22 F37:I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EA4F5-6DD1-447B-AE79-8B48A82364FA}">
  <dimension ref="A1:O100"/>
  <sheetViews>
    <sheetView view="pageBreakPreview" topLeftCell="A84" zoomScale="170" zoomScaleNormal="100" zoomScaleSheetLayoutView="17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1.6992187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5.09765625" style="1" customWidth="1"/>
    <col min="13" max="13" width="12.3984375" style="1" customWidth="1"/>
    <col min="14" max="14" width="11.59765625" style="1" customWidth="1"/>
    <col min="15" max="15" width="11.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DG!D78</f>
        <v>Statia 110/20 kV Trifesti, jud. IS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/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" si="2">ROUND(E17/$F$7,2)</f>
        <v>0</v>
      </c>
      <c r="G17" s="9">
        <f t="shared" ref="G17" si="3">ROUND(E17*$K$3,2)</f>
        <v>0</v>
      </c>
      <c r="H17" s="9">
        <f t="shared" ref="H17" si="4">E17+G17</f>
        <v>0</v>
      </c>
      <c r="I17" s="9">
        <f t="shared" ref="I17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'(3)F1 Trif'!H17</f>
        <v>0</v>
      </c>
      <c r="F18" s="8">
        <f t="shared" ref="F18:F21" si="6">ROUND(E18/$F$7,2)</f>
        <v>0</v>
      </c>
      <c r="G18" s="8">
        <f t="shared" ref="G18:G21" si="7">ROUND(E18*$K$3,2)</f>
        <v>0</v>
      </c>
      <c r="H18" s="8">
        <f t="shared" ref="H18:H21" si="8">E18+G18</f>
        <v>0</v>
      </c>
      <c r="I18" s="8">
        <f t="shared" ref="I18:I21" si="9">ROUND(G18/$F$7,2)+F18</f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'(3)F1 Trif'!H18</f>
        <v>0</v>
      </c>
      <c r="F19" s="8">
        <f t="shared" si="6"/>
        <v>0</v>
      </c>
      <c r="G19" s="8">
        <f t="shared" si="7"/>
        <v>0</v>
      </c>
      <c r="H19" s="8">
        <f t="shared" si="8"/>
        <v>0</v>
      </c>
      <c r="I19" s="8">
        <f t="shared" si="9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'(3)F1 Trif'!H19</f>
        <v>0</v>
      </c>
      <c r="F20" s="8">
        <f t="shared" ref="F20" si="10">ROUND(E20/$F$7,2)</f>
        <v>0</v>
      </c>
      <c r="G20" s="8">
        <f t="shared" ref="G20" si="11">ROUND(E20*$K$3,2)</f>
        <v>0</v>
      </c>
      <c r="H20" s="8">
        <f t="shared" ref="H20" si="12">E20+G20</f>
        <v>0</v>
      </c>
      <c r="I20" s="8">
        <f t="shared" ref="I20" si="13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'(3)F1 Trif'!H20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'(3)F1 Trif'!C36</f>
        <v>0</v>
      </c>
      <c r="F22" s="9">
        <f>SUM(F23)</f>
        <v>0</v>
      </c>
      <c r="G22" s="9">
        <f t="shared" ref="G22:I22" si="14">SUM(G23)</f>
        <v>0</v>
      </c>
      <c r="H22" s="9">
        <f t="shared" si="14"/>
        <v>0</v>
      </c>
      <c r="I22" s="9">
        <f t="shared" si="14"/>
        <v>0</v>
      </c>
    </row>
    <row r="23" spans="1:9" ht="11.1" customHeight="1" x14ac:dyDescent="0.25">
      <c r="A23" s="44"/>
      <c r="B23" s="115"/>
      <c r="C23" s="272" t="str">
        <f>'(3)F1 Trif'!B38</f>
        <v xml:space="preserve">              Lucrari protectia mediului</v>
      </c>
      <c r="D23" s="273"/>
      <c r="E23" s="8">
        <f>'(3)F1 Trif'!C38</f>
        <v>0</v>
      </c>
      <c r="F23" s="8">
        <f t="shared" ref="F23" si="15">ROUND(E23/$F$7,2)</f>
        <v>0</v>
      </c>
      <c r="G23" s="8">
        <f t="shared" ref="G23" si="16">ROUND(E23*$K$3,2)</f>
        <v>0</v>
      </c>
      <c r="H23" s="8">
        <f t="shared" ref="H23" si="17">E23+G23</f>
        <v>0</v>
      </c>
      <c r="I23" s="8">
        <f t="shared" ref="I23" si="18">ROUND(G23/$F$7,2)+F23</f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9">ROUND(E24/$F$7,2)</f>
        <v>0</v>
      </c>
      <c r="G24" s="8">
        <f t="shared" ref="G24" si="20">ROUND(E24*$K$3,2)</f>
        <v>0</v>
      </c>
      <c r="H24" s="8">
        <f t="shared" ref="H24" si="21">E24+G24</f>
        <v>0</v>
      </c>
      <c r="I24" s="8">
        <f t="shared" ref="I24" si="22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E16+E17+E22+E24</f>
        <v>0</v>
      </c>
      <c r="F25" s="26">
        <f>F16+F17+F22+F24</f>
        <v>0</v>
      </c>
      <c r="G25" s="26">
        <f>G16+G17+G22+G24</f>
        <v>0</v>
      </c>
      <c r="H25" s="26">
        <f>H16+H17+H22+H24</f>
        <v>0</v>
      </c>
      <c r="I25" s="26">
        <f>I16+I17+I22+I24</f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23">ROUND(E27/$F$7,2)</f>
        <v>0</v>
      </c>
      <c r="G27" s="8">
        <f t="shared" ref="G27" si="24">ROUND(E27*$K$3,2)</f>
        <v>0</v>
      </c>
      <c r="H27" s="8">
        <f t="shared" ref="H27" si="25">E27+G27</f>
        <v>0</v>
      </c>
      <c r="I27" s="8">
        <f t="shared" ref="I27" si="26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27">F27</f>
        <v>0</v>
      </c>
      <c r="G28" s="26">
        <f t="shared" si="27"/>
        <v>0</v>
      </c>
      <c r="H28" s="26">
        <f t="shared" si="27"/>
        <v>0</v>
      </c>
      <c r="I28" s="26">
        <f t="shared" si="27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8">SUM(F31:F33)</f>
        <v>0</v>
      </c>
      <c r="G30" s="27">
        <f t="shared" si="28"/>
        <v>0</v>
      </c>
      <c r="H30" s="27">
        <f t="shared" si="28"/>
        <v>0</v>
      </c>
      <c r="I30" s="27">
        <f t="shared" si="28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9">ROUND(E31/$F$7,2)</f>
        <v>0</v>
      </c>
      <c r="G31" s="8">
        <f t="shared" ref="G31:G36" si="30">ROUND(E31*$K$3,2)</f>
        <v>0</v>
      </c>
      <c r="H31" s="8">
        <f t="shared" ref="H31:H36" si="31">E31+G31</f>
        <v>0</v>
      </c>
      <c r="I31" s="8">
        <f t="shared" ref="I31:I36" si="32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9"/>
        <v>0</v>
      </c>
      <c r="G32" s="8">
        <f t="shared" si="30"/>
        <v>0</v>
      </c>
      <c r="H32" s="8">
        <f t="shared" si="31"/>
        <v>0</v>
      </c>
      <c r="I32" s="8">
        <f t="shared" si="32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9"/>
        <v>0</v>
      </c>
      <c r="G33" s="8">
        <f t="shared" si="30"/>
        <v>0</v>
      </c>
      <c r="H33" s="8">
        <f t="shared" si="31"/>
        <v>0</v>
      </c>
      <c r="I33" s="8">
        <f t="shared" si="32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9"/>
        <v>0</v>
      </c>
      <c r="G34" s="8">
        <f t="shared" si="30"/>
        <v>0</v>
      </c>
      <c r="H34" s="8">
        <f t="shared" si="31"/>
        <v>0</v>
      </c>
      <c r="I34" s="8">
        <f t="shared" si="32"/>
        <v>0</v>
      </c>
      <c r="J34" s="7"/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9"/>
        <v>0</v>
      </c>
      <c r="G35" s="8">
        <f t="shared" si="30"/>
        <v>0</v>
      </c>
      <c r="H35" s="8">
        <f t="shared" si="31"/>
        <v>0</v>
      </c>
      <c r="I35" s="8">
        <f t="shared" si="32"/>
        <v>0</v>
      </c>
      <c r="J35" s="7"/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9"/>
        <v>0</v>
      </c>
      <c r="G36" s="8">
        <f t="shared" si="30"/>
        <v>0</v>
      </c>
      <c r="H36" s="8">
        <f t="shared" si="31"/>
        <v>0</v>
      </c>
      <c r="I36" s="8">
        <f t="shared" si="32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33">SUM(F38:F43)</f>
        <v>0</v>
      </c>
      <c r="G37" s="36">
        <f t="shared" si="33"/>
        <v>0</v>
      </c>
      <c r="H37" s="36">
        <f t="shared" si="33"/>
        <v>0</v>
      </c>
      <c r="I37" s="36">
        <f t="shared" si="33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34">ROUND(E38/$F$7,2)</f>
        <v>0</v>
      </c>
      <c r="G38" s="8">
        <f t="shared" ref="G38:G43" si="35">ROUND(E38*$K$3,2)</f>
        <v>0</v>
      </c>
      <c r="H38" s="8">
        <f t="shared" ref="H38:H44" si="36">E38+G38</f>
        <v>0</v>
      </c>
      <c r="I38" s="8">
        <f t="shared" ref="I38:I44" si="37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34"/>
        <v>0</v>
      </c>
      <c r="G39" s="8">
        <f t="shared" si="35"/>
        <v>0</v>
      </c>
      <c r="H39" s="8">
        <f t="shared" si="36"/>
        <v>0</v>
      </c>
      <c r="I39" s="8">
        <f t="shared" si="37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34"/>
        <v>0</v>
      </c>
      <c r="G40" s="8">
        <f t="shared" si="35"/>
        <v>0</v>
      </c>
      <c r="H40" s="8">
        <f t="shared" si="36"/>
        <v>0</v>
      </c>
      <c r="I40" s="8">
        <f t="shared" si="37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34"/>
        <v>0</v>
      </c>
      <c r="G41" s="8">
        <f t="shared" si="35"/>
        <v>0</v>
      </c>
      <c r="H41" s="8">
        <f t="shared" si="36"/>
        <v>0</v>
      </c>
      <c r="I41" s="8">
        <f t="shared" si="37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34"/>
        <v>0</v>
      </c>
      <c r="G42" s="8">
        <f t="shared" si="35"/>
        <v>0</v>
      </c>
      <c r="H42" s="8">
        <f t="shared" si="36"/>
        <v>0</v>
      </c>
      <c r="I42" s="8">
        <f t="shared" si="37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34"/>
        <v>0</v>
      </c>
      <c r="G43" s="8">
        <f t="shared" si="35"/>
        <v>0</v>
      </c>
      <c r="H43" s="8">
        <f t="shared" si="36"/>
        <v>0</v>
      </c>
      <c r="I43" s="8">
        <f t="shared" si="37"/>
        <v>0</v>
      </c>
      <c r="J43" s="7"/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34"/>
        <v>0</v>
      </c>
      <c r="G44" s="8">
        <v>0</v>
      </c>
      <c r="H44" s="8">
        <f t="shared" si="36"/>
        <v>0</v>
      </c>
      <c r="I44" s="8">
        <f t="shared" si="37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38">F47+F48</f>
        <v>0</v>
      </c>
      <c r="G46" s="33">
        <f t="shared" si="38"/>
        <v>0</v>
      </c>
      <c r="H46" s="33">
        <f t="shared" si="38"/>
        <v>0</v>
      </c>
      <c r="I46" s="33">
        <f t="shared" si="38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9">ROUND(E47/$F$7,2)</f>
        <v>0</v>
      </c>
      <c r="G47" s="8">
        <v>0</v>
      </c>
      <c r="H47" s="8">
        <f t="shared" ref="H47:H48" si="40">E47+G47</f>
        <v>0</v>
      </c>
      <c r="I47" s="8">
        <f t="shared" ref="I47:I48" si="41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9"/>
        <v>0</v>
      </c>
      <c r="G48" s="8">
        <f t="shared" ref="G48" si="42">ROUND(E48*$K$3,2)</f>
        <v>0</v>
      </c>
      <c r="H48" s="8">
        <f t="shared" si="40"/>
        <v>0</v>
      </c>
      <c r="I48" s="8">
        <f t="shared" si="41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43">ROUND(E49/$F$7,2)</f>
        <v>0</v>
      </c>
      <c r="G49" s="8">
        <f t="shared" ref="G49" si="44">ROUND(E49*$K$3,2)</f>
        <v>0</v>
      </c>
      <c r="H49" s="8">
        <f t="shared" ref="H49" si="45">E49+G49</f>
        <v>0</v>
      </c>
      <c r="I49" s="8">
        <f t="shared" ref="I49" si="46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47">F51+F54</f>
        <v>0</v>
      </c>
      <c r="G50" s="36">
        <f t="shared" si="47"/>
        <v>0</v>
      </c>
      <c r="H50" s="36">
        <f t="shared" si="47"/>
        <v>0</v>
      </c>
      <c r="I50" s="36">
        <f t="shared" si="47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8">F53+F52</f>
        <v>0</v>
      </c>
      <c r="G51" s="36">
        <f t="shared" si="48"/>
        <v>0</v>
      </c>
      <c r="H51" s="36">
        <f t="shared" si="48"/>
        <v>0</v>
      </c>
      <c r="I51" s="36">
        <f t="shared" si="48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9">ROUND(E52/$F$7,2)</f>
        <v>0</v>
      </c>
      <c r="G52" s="8">
        <f t="shared" ref="G52:G53" si="50">ROUND(E52*$K$3,2)</f>
        <v>0</v>
      </c>
      <c r="H52" s="8">
        <f t="shared" ref="H52:H54" si="51">E52+G52</f>
        <v>0</v>
      </c>
      <c r="I52" s="8">
        <f t="shared" ref="I52:I54" si="52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33">
        <f t="shared" si="49"/>
        <v>0</v>
      </c>
      <c r="G53" s="33">
        <f t="shared" si="50"/>
        <v>0</v>
      </c>
      <c r="H53" s="33">
        <f t="shared" si="51"/>
        <v>0</v>
      </c>
      <c r="I53" s="33">
        <f t="shared" si="52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9"/>
        <v>0</v>
      </c>
      <c r="G54" s="8">
        <v>0</v>
      </c>
      <c r="H54" s="8">
        <f t="shared" si="51"/>
        <v>0</v>
      </c>
      <c r="I54" s="8">
        <f t="shared" si="52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" si="53">ROUND(E57/$F$7,2)</f>
        <v>0</v>
      </c>
      <c r="G57" s="9">
        <f t="shared" ref="G57" si="54">ROUND(E57*$K$3,2)</f>
        <v>0</v>
      </c>
      <c r="H57" s="9">
        <f t="shared" ref="H57" si="55">E57+G57</f>
        <v>0</v>
      </c>
      <c r="I57" s="9">
        <f t="shared" ref="I57" si="56">ROUND(G57/$F$7,2)+F57</f>
        <v>0</v>
      </c>
    </row>
    <row r="58" spans="1:10" ht="12" customHeight="1" x14ac:dyDescent="0.25">
      <c r="A58" s="46"/>
      <c r="B58" s="28"/>
      <c r="C58" s="268" t="s">
        <v>682</v>
      </c>
      <c r="D58" s="269"/>
      <c r="E58" s="33">
        <f>'(3)F1 Trif'!H51</f>
        <v>0</v>
      </c>
      <c r="F58" s="8">
        <f t="shared" ref="F58:F62" si="57">ROUND(E58/$F$7,2)</f>
        <v>0</v>
      </c>
      <c r="G58" s="8">
        <f t="shared" ref="G58:G62" si="58">ROUND(E58*$K$3,2)</f>
        <v>0</v>
      </c>
      <c r="H58" s="8">
        <f t="shared" ref="H58:H62" si="59">E58+G58</f>
        <v>0</v>
      </c>
      <c r="I58" s="8">
        <f t="shared" ref="I58:I62" si="60">ROUND(G58/$F$7,2)+F58</f>
        <v>0</v>
      </c>
    </row>
    <row r="59" spans="1:10" ht="12" customHeight="1" x14ac:dyDescent="0.25">
      <c r="A59" s="46"/>
      <c r="B59" s="28"/>
      <c r="C59" s="268" t="s">
        <v>683</v>
      </c>
      <c r="D59" s="269"/>
      <c r="E59" s="33">
        <f>'(3)F1 Trif'!H52</f>
        <v>0</v>
      </c>
      <c r="F59" s="8">
        <f t="shared" si="57"/>
        <v>0</v>
      </c>
      <c r="G59" s="8">
        <f t="shared" si="58"/>
        <v>0</v>
      </c>
      <c r="H59" s="8">
        <f t="shared" si="59"/>
        <v>0</v>
      </c>
      <c r="I59" s="8">
        <f t="shared" si="60"/>
        <v>0</v>
      </c>
    </row>
    <row r="60" spans="1:10" ht="12" customHeight="1" x14ac:dyDescent="0.25">
      <c r="A60" s="46"/>
      <c r="B60" s="28"/>
      <c r="C60" s="268" t="s">
        <v>684</v>
      </c>
      <c r="D60" s="269"/>
      <c r="E60" s="33">
        <f>'(3)F1 Trif'!H53</f>
        <v>0</v>
      </c>
      <c r="F60" s="8">
        <f t="shared" si="57"/>
        <v>0</v>
      </c>
      <c r="G60" s="8">
        <f t="shared" si="58"/>
        <v>0</v>
      </c>
      <c r="H60" s="8">
        <f t="shared" si="59"/>
        <v>0</v>
      </c>
      <c r="I60" s="8">
        <f t="shared" si="60"/>
        <v>0</v>
      </c>
    </row>
    <row r="61" spans="1:10" ht="12" customHeight="1" x14ac:dyDescent="0.25">
      <c r="A61" s="46"/>
      <c r="B61" s="28"/>
      <c r="C61" s="268" t="s">
        <v>685</v>
      </c>
      <c r="D61" s="269"/>
      <c r="E61" s="33">
        <f>'(3)F1 Trif'!H54</f>
        <v>0</v>
      </c>
      <c r="F61" s="8">
        <f t="shared" si="57"/>
        <v>0</v>
      </c>
      <c r="G61" s="8">
        <f t="shared" si="58"/>
        <v>0</v>
      </c>
      <c r="H61" s="8">
        <f t="shared" si="59"/>
        <v>0</v>
      </c>
      <c r="I61" s="8">
        <f t="shared" si="60"/>
        <v>0</v>
      </c>
    </row>
    <row r="62" spans="1:10" x14ac:dyDescent="0.25">
      <c r="A62" s="40"/>
      <c r="B62" s="107"/>
      <c r="C62" s="270" t="s">
        <v>158</v>
      </c>
      <c r="D62" s="271"/>
      <c r="E62" s="8">
        <f>'(3)F1 Trif'!H55</f>
        <v>0</v>
      </c>
      <c r="F62" s="8">
        <f t="shared" si="57"/>
        <v>0</v>
      </c>
      <c r="G62" s="8">
        <f t="shared" si="58"/>
        <v>0</v>
      </c>
      <c r="H62" s="8">
        <f t="shared" si="59"/>
        <v>0</v>
      </c>
      <c r="I62" s="8">
        <f t="shared" si="60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ref="F63:F72" si="61">ROUND(E63/$F$7,2)</f>
        <v>0</v>
      </c>
      <c r="G63" s="9">
        <f t="shared" ref="G63:G72" si="62">ROUND(E63*$K$3,2)</f>
        <v>0</v>
      </c>
      <c r="H63" s="9">
        <f t="shared" ref="H63:H72" si="63">E63+G63</f>
        <v>0</v>
      </c>
      <c r="I63" s="9">
        <f t="shared" ref="I63:I72" si="64">ROUND(G63/$F$7,2)+F63</f>
        <v>0</v>
      </c>
    </row>
    <row r="64" spans="1:10" x14ac:dyDescent="0.25">
      <c r="A64" s="46"/>
      <c r="B64" s="28"/>
      <c r="C64" s="272" t="s">
        <v>682</v>
      </c>
      <c r="D64" s="273"/>
      <c r="E64" s="33">
        <f>'(3)F1 Trif'!H94</f>
        <v>0</v>
      </c>
      <c r="F64" s="8">
        <f t="shared" si="61"/>
        <v>0</v>
      </c>
      <c r="G64" s="8">
        <f t="shared" si="62"/>
        <v>0</v>
      </c>
      <c r="H64" s="8">
        <f t="shared" si="63"/>
        <v>0</v>
      </c>
      <c r="I64" s="8">
        <f t="shared" si="64"/>
        <v>0</v>
      </c>
    </row>
    <row r="65" spans="1:10" x14ac:dyDescent="0.25">
      <c r="A65" s="46"/>
      <c r="B65" s="28"/>
      <c r="C65" s="272" t="s">
        <v>683</v>
      </c>
      <c r="D65" s="273"/>
      <c r="E65" s="33">
        <f>'(3)F1 Trif'!H95</f>
        <v>0</v>
      </c>
      <c r="F65" s="8">
        <f t="shared" si="61"/>
        <v>0</v>
      </c>
      <c r="G65" s="8">
        <f t="shared" si="62"/>
        <v>0</v>
      </c>
      <c r="H65" s="8">
        <f t="shared" si="63"/>
        <v>0</v>
      </c>
      <c r="I65" s="8">
        <f t="shared" si="64"/>
        <v>0</v>
      </c>
    </row>
    <row r="66" spans="1:10" x14ac:dyDescent="0.25">
      <c r="A66" s="40"/>
      <c r="B66" s="107"/>
      <c r="C66" s="272" t="s">
        <v>684</v>
      </c>
      <c r="D66" s="273"/>
      <c r="E66" s="8">
        <f>'(3)F1 Trif'!H96</f>
        <v>0</v>
      </c>
      <c r="F66" s="8">
        <f t="shared" si="61"/>
        <v>0</v>
      </c>
      <c r="G66" s="8">
        <f t="shared" si="62"/>
        <v>0</v>
      </c>
      <c r="H66" s="8">
        <f t="shared" si="63"/>
        <v>0</v>
      </c>
      <c r="I66" s="8">
        <f t="shared" si="64"/>
        <v>0</v>
      </c>
    </row>
    <row r="67" spans="1:10" x14ac:dyDescent="0.25">
      <c r="A67" s="40"/>
      <c r="B67" s="107"/>
      <c r="C67" s="272" t="s">
        <v>685</v>
      </c>
      <c r="D67" s="273"/>
      <c r="E67" s="8">
        <f>'(3)F1 Trif'!H97</f>
        <v>0</v>
      </c>
      <c r="F67" s="8">
        <f t="shared" si="61"/>
        <v>0</v>
      </c>
      <c r="G67" s="8">
        <f t="shared" si="62"/>
        <v>0</v>
      </c>
      <c r="H67" s="8">
        <f t="shared" si="63"/>
        <v>0</v>
      </c>
      <c r="I67" s="8">
        <f t="shared" si="64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61"/>
        <v>0</v>
      </c>
      <c r="G68" s="9">
        <f t="shared" si="62"/>
        <v>0</v>
      </c>
      <c r="H68" s="9">
        <f t="shared" si="63"/>
        <v>0</v>
      </c>
      <c r="I68" s="9">
        <f t="shared" si="64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'(3)F1 Trif'!H109</f>
        <v>0</v>
      </c>
      <c r="F69" s="8">
        <f t="shared" si="61"/>
        <v>0</v>
      </c>
      <c r="G69" s="8">
        <f t="shared" si="62"/>
        <v>0</v>
      </c>
      <c r="H69" s="8">
        <f t="shared" si="63"/>
        <v>0</v>
      </c>
      <c r="I69" s="8">
        <f t="shared" si="64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'(3)F1 Trif'!H110</f>
        <v>0</v>
      </c>
      <c r="F70" s="8">
        <f t="shared" si="61"/>
        <v>0</v>
      </c>
      <c r="G70" s="8">
        <f t="shared" si="62"/>
        <v>0</v>
      </c>
      <c r="H70" s="8">
        <f t="shared" si="63"/>
        <v>0</v>
      </c>
      <c r="I70" s="8">
        <f t="shared" si="64"/>
        <v>0</v>
      </c>
    </row>
    <row r="71" spans="1:10" x14ac:dyDescent="0.25">
      <c r="A71" s="53"/>
      <c r="B71" s="114"/>
      <c r="C71" s="272" t="s">
        <v>684</v>
      </c>
      <c r="D71" s="273"/>
      <c r="E71" s="8">
        <f>'(3)F1 Trif'!H111</f>
        <v>0</v>
      </c>
      <c r="F71" s="8">
        <f t="shared" si="61"/>
        <v>0</v>
      </c>
      <c r="G71" s="8">
        <f t="shared" si="62"/>
        <v>0</v>
      </c>
      <c r="H71" s="8">
        <f t="shared" si="63"/>
        <v>0</v>
      </c>
      <c r="I71" s="8">
        <f t="shared" si="64"/>
        <v>0</v>
      </c>
    </row>
    <row r="72" spans="1:10" x14ac:dyDescent="0.25">
      <c r="A72" s="53"/>
      <c r="B72" s="114"/>
      <c r="C72" s="272" t="s">
        <v>685</v>
      </c>
      <c r="D72" s="273"/>
      <c r="E72" s="8">
        <f>'(3)F1 Trif'!H112</f>
        <v>0</v>
      </c>
      <c r="F72" s="8">
        <f t="shared" si="61"/>
        <v>0</v>
      </c>
      <c r="G72" s="8">
        <f t="shared" si="62"/>
        <v>0</v>
      </c>
      <c r="H72" s="8">
        <f t="shared" si="63"/>
        <v>0</v>
      </c>
      <c r="I72" s="8">
        <f t="shared" si="64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5" si="65">ROUND(E73/$F$7,2)</f>
        <v>0</v>
      </c>
      <c r="G73" s="8">
        <f t="shared" ref="G73:G75" si="66">ROUND(E73*$K$3,2)</f>
        <v>0</v>
      </c>
      <c r="H73" s="8">
        <f t="shared" ref="H73:H75" si="67">E73+G73</f>
        <v>0</v>
      </c>
      <c r="I73" s="8">
        <f t="shared" ref="I73:I75" si="68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65"/>
        <v>0</v>
      </c>
      <c r="G74" s="8">
        <f t="shared" si="66"/>
        <v>0</v>
      </c>
      <c r="H74" s="8">
        <f t="shared" si="67"/>
        <v>0</v>
      </c>
      <c r="I74" s="8">
        <f t="shared" si="68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65"/>
        <v>0</v>
      </c>
      <c r="G75" s="8">
        <f t="shared" si="66"/>
        <v>0</v>
      </c>
      <c r="H75" s="8">
        <f t="shared" si="67"/>
        <v>0</v>
      </c>
      <c r="I75" s="8">
        <f t="shared" si="68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69">SUM(F79:F80)</f>
        <v>0</v>
      </c>
      <c r="G78" s="29">
        <f t="shared" si="69"/>
        <v>0</v>
      </c>
      <c r="H78" s="29">
        <f t="shared" si="69"/>
        <v>0</v>
      </c>
      <c r="I78" s="29">
        <f t="shared" si="69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70">ROUND(E79/$F$7,2)</f>
        <v>0</v>
      </c>
      <c r="G79" s="8">
        <f t="shared" ref="G79:G80" si="71">ROUND(E79*$K$3,2)</f>
        <v>0</v>
      </c>
      <c r="H79" s="8">
        <f t="shared" ref="H79:H80" si="72">E79+G79</f>
        <v>0</v>
      </c>
      <c r="I79" s="8">
        <f t="shared" ref="I79:I80" si="73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70"/>
        <v>0</v>
      </c>
      <c r="G80" s="8">
        <f t="shared" si="71"/>
        <v>0</v>
      </c>
      <c r="H80" s="8">
        <f t="shared" si="72"/>
        <v>0</v>
      </c>
      <c r="I80" s="8">
        <f t="shared" si="73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74">SUM(F82:F86)</f>
        <v>0</v>
      </c>
      <c r="G81" s="27">
        <f t="shared" si="74"/>
        <v>0</v>
      </c>
      <c r="H81" s="27">
        <f t="shared" si="74"/>
        <v>0</v>
      </c>
      <c r="I81" s="27">
        <f t="shared" si="74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75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76">ROUND(E83/$F$7,2)</f>
        <v>0</v>
      </c>
      <c r="G83" s="8">
        <v>0</v>
      </c>
      <c r="H83" s="8">
        <f t="shared" ref="H83:H88" si="77">E83+G83</f>
        <v>0</v>
      </c>
      <c r="I83" s="8">
        <f t="shared" ref="I83:I88" si="78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76"/>
        <v>0</v>
      </c>
      <c r="G84" s="8">
        <v>0</v>
      </c>
      <c r="H84" s="8">
        <f t="shared" si="77"/>
        <v>0</v>
      </c>
      <c r="I84" s="8">
        <f t="shared" si="78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76"/>
        <v>0</v>
      </c>
      <c r="G85" s="8">
        <v>0</v>
      </c>
      <c r="H85" s="8">
        <f t="shared" si="77"/>
        <v>0</v>
      </c>
      <c r="I85" s="8">
        <f t="shared" si="78"/>
        <v>0</v>
      </c>
      <c r="J85" s="7"/>
      <c r="K85" s="7"/>
    </row>
    <row r="86" spans="1:15" ht="22.95" customHeight="1" x14ac:dyDescent="0.25">
      <c r="A86" s="40"/>
      <c r="B86" s="128" t="s">
        <v>141</v>
      </c>
      <c r="C86" s="260" t="s">
        <v>142</v>
      </c>
      <c r="D86" s="260"/>
      <c r="E86" s="8">
        <f>(E57+E79)*1%</f>
        <v>0</v>
      </c>
      <c r="F86" s="8">
        <f t="shared" si="76"/>
        <v>0</v>
      </c>
      <c r="G86" s="8">
        <f>E86*0</f>
        <v>0</v>
      </c>
      <c r="H86" s="8">
        <f t="shared" si="77"/>
        <v>0</v>
      </c>
      <c r="I86" s="8">
        <f t="shared" si="78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76"/>
        <v>0</v>
      </c>
      <c r="G87" s="8">
        <f t="shared" ref="G87:G88" si="79">ROUND(E87*$K$3,2)</f>
        <v>0</v>
      </c>
      <c r="H87" s="8">
        <f t="shared" si="77"/>
        <v>0</v>
      </c>
      <c r="I87" s="8">
        <f t="shared" si="78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76"/>
        <v>0</v>
      </c>
      <c r="G88" s="8">
        <f t="shared" si="79"/>
        <v>0</v>
      </c>
      <c r="H88" s="8">
        <f t="shared" si="77"/>
        <v>0</v>
      </c>
      <c r="I88" s="8">
        <f t="shared" si="78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80">F78+F81+F87+F88</f>
        <v>0</v>
      </c>
      <c r="G89" s="31">
        <f t="shared" si="80"/>
        <v>0</v>
      </c>
      <c r="H89" s="31">
        <f t="shared" si="80"/>
        <v>0</v>
      </c>
      <c r="I89" s="31">
        <f t="shared" si="80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81">ROUND(E91/$F$7,2)</f>
        <v>0</v>
      </c>
      <c r="G91" s="8">
        <f t="shared" ref="G91" si="82">ROUND(E91*$K$3,2)</f>
        <v>0</v>
      </c>
      <c r="H91" s="8">
        <f t="shared" ref="H91:H92" si="83">E91+G91</f>
        <v>0</v>
      </c>
      <c r="I91" s="8">
        <f t="shared" ref="I91:I92" si="84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81"/>
        <v>0</v>
      </c>
      <c r="G92" s="8">
        <v>0</v>
      </c>
      <c r="H92" s="8">
        <f t="shared" si="83"/>
        <v>0</v>
      </c>
      <c r="I92" s="8">
        <f t="shared" si="84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85">SUM(F91:F92)</f>
        <v>0</v>
      </c>
      <c r="G93" s="30">
        <f t="shared" si="85"/>
        <v>0</v>
      </c>
      <c r="H93" s="30">
        <f t="shared" si="85"/>
        <v>0</v>
      </c>
      <c r="I93" s="30">
        <f t="shared" si="85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86">E95/4.9</f>
        <v>0</v>
      </c>
      <c r="G95" s="21">
        <f t="shared" ref="G95:G96" si="87">E95*0.19</f>
        <v>0</v>
      </c>
      <c r="H95" s="21">
        <f t="shared" ref="H95:H96" si="88">E95+G95</f>
        <v>0</v>
      </c>
      <c r="I95" s="21">
        <f t="shared" ref="I95:I96" si="89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86"/>
        <v>0</v>
      </c>
      <c r="G96" s="21">
        <f t="shared" si="87"/>
        <v>0</v>
      </c>
      <c r="H96" s="21">
        <f t="shared" si="88"/>
        <v>0</v>
      </c>
      <c r="I96" s="21">
        <f t="shared" si="89"/>
        <v>0</v>
      </c>
      <c r="M96" s="1" t="s">
        <v>156</v>
      </c>
      <c r="N96" s="54">
        <f>SUM(N93:N95)</f>
        <v>0</v>
      </c>
      <c r="O96" s="127">
        <f>N96-'(3)F1 Trif'!C129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92:D92"/>
    <mergeCell ref="C85:D85"/>
    <mergeCell ref="C86:D86"/>
    <mergeCell ref="C88:D88"/>
    <mergeCell ref="C89:D89"/>
    <mergeCell ref="C91:D91"/>
    <mergeCell ref="C74:D74"/>
    <mergeCell ref="C75:D75"/>
    <mergeCell ref="C58:D58"/>
    <mergeCell ref="C59:D59"/>
    <mergeCell ref="C60:D60"/>
    <mergeCell ref="C61:D61"/>
    <mergeCell ref="C73:D73"/>
    <mergeCell ref="B50:D50"/>
    <mergeCell ref="B51:D51"/>
    <mergeCell ref="B52:D52"/>
    <mergeCell ref="B53:D53"/>
    <mergeCell ref="B54:D54"/>
    <mergeCell ref="C72:D72"/>
    <mergeCell ref="B42:D42"/>
    <mergeCell ref="C47:D47"/>
    <mergeCell ref="C48:D48"/>
    <mergeCell ref="C57:D57"/>
    <mergeCell ref="C63:D63"/>
    <mergeCell ref="B37:D37"/>
    <mergeCell ref="B38:D38"/>
    <mergeCell ref="B39:D39"/>
    <mergeCell ref="B40:D40"/>
    <mergeCell ref="B41:D41"/>
    <mergeCell ref="C32:D32"/>
    <mergeCell ref="C33:D33"/>
    <mergeCell ref="C34:D34"/>
    <mergeCell ref="C35:D35"/>
    <mergeCell ref="C36:D36"/>
    <mergeCell ref="C18:D18"/>
    <mergeCell ref="C19:D19"/>
    <mergeCell ref="C21:D21"/>
    <mergeCell ref="C23:D23"/>
    <mergeCell ref="C20:D20"/>
    <mergeCell ref="B13:D13"/>
    <mergeCell ref="C14:D14"/>
    <mergeCell ref="B15:D15"/>
    <mergeCell ref="C16:D16"/>
    <mergeCell ref="C17:D17"/>
    <mergeCell ref="A8:C8"/>
    <mergeCell ref="H8:I8"/>
    <mergeCell ref="B9:D12"/>
    <mergeCell ref="E9:F11"/>
    <mergeCell ref="G9:G11"/>
    <mergeCell ref="H9:I10"/>
    <mergeCell ref="H11:I11"/>
    <mergeCell ref="C7:D7"/>
    <mergeCell ref="F1:G1"/>
    <mergeCell ref="A2:C2"/>
    <mergeCell ref="A3:I3"/>
    <mergeCell ref="A4:I4"/>
    <mergeCell ref="A5:I5"/>
    <mergeCell ref="A6:I6"/>
    <mergeCell ref="A96:D96"/>
    <mergeCell ref="C62:D62"/>
    <mergeCell ref="C64:D64"/>
    <mergeCell ref="C65:D65"/>
    <mergeCell ref="C66:D66"/>
    <mergeCell ref="C67:D67"/>
    <mergeCell ref="C84:D84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C69:D69"/>
    <mergeCell ref="C70:D70"/>
    <mergeCell ref="C71:D71"/>
    <mergeCell ref="C25:D25"/>
    <mergeCell ref="B26:D26"/>
    <mergeCell ref="C27:D27"/>
    <mergeCell ref="C28:D28"/>
    <mergeCell ref="B29:D29"/>
    <mergeCell ref="C30:D30"/>
    <mergeCell ref="C55:D55"/>
    <mergeCell ref="B44:D44"/>
    <mergeCell ref="B45:D45"/>
    <mergeCell ref="B46:D46"/>
    <mergeCell ref="B49:D49"/>
    <mergeCell ref="C31:D31"/>
    <mergeCell ref="B43:D43"/>
  </mergeCells>
  <pageMargins left="0.78740157480314965" right="0.59055118110236227" top="0.59055118110236227" bottom="0.78740157480314965" header="0" footer="0"/>
  <pageSetup paperSize="9" scale="71" orientation="portrait" r:id="rId1"/>
  <ignoredErrors>
    <ignoredError sqref="E81:I82 F85:I85 F83:I83 F84:I84" evalError="1"/>
    <ignoredError sqref="F22:I22 F37:I3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B90BD-F64A-4025-92C1-9724E021FE18}">
  <dimension ref="A1:O100"/>
  <sheetViews>
    <sheetView view="pageBreakPreview" topLeftCell="A17" zoomScale="130" zoomScaleNormal="100" zoomScaleSheetLayoutView="13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" style="1" customWidth="1"/>
    <col min="13" max="13" width="12.3984375" style="1" customWidth="1"/>
    <col min="14" max="14" width="10.59765625" style="1" customWidth="1"/>
    <col min="15" max="15" width="11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DG!D79</f>
        <v>Statia 110/6 kV Roman IMR, jud. NT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:F23" si="2">ROUND(E17/$F$7,2)</f>
        <v>0</v>
      </c>
      <c r="G17" s="9">
        <f t="shared" ref="G17:G23" si="3">ROUND(E17*$K$3,2)</f>
        <v>0</v>
      </c>
      <c r="H17" s="9">
        <f t="shared" ref="H17:H23" si="4">E17+G17</f>
        <v>0</v>
      </c>
      <c r="I17" s="9">
        <f t="shared" ref="I17:I23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'(4)F1 IMR'!H17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'(4)F1 IMR'!H18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'(4)F1 IMR'!H19</f>
        <v>0</v>
      </c>
      <c r="F20" s="8">
        <f t="shared" ref="F20" si="6">ROUND(E20/$F$7,2)</f>
        <v>0</v>
      </c>
      <c r="G20" s="8">
        <f t="shared" ref="G20" si="7">ROUND(E20*$K$3,2)</f>
        <v>0</v>
      </c>
      <c r="H20" s="8">
        <f t="shared" ref="H20" si="8">E20+G20</f>
        <v>0</v>
      </c>
      <c r="I20" s="8">
        <f t="shared" ref="I20" si="9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'(4)F1 IMR'!H20</f>
        <v>0</v>
      </c>
      <c r="F21" s="8">
        <f t="shared" si="2"/>
        <v>0</v>
      </c>
      <c r="G21" s="8">
        <f t="shared" si="3"/>
        <v>0</v>
      </c>
      <c r="H21" s="8">
        <f t="shared" si="4"/>
        <v>0</v>
      </c>
      <c r="I21" s="8">
        <f t="shared" si="5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'(4)F1 IMR'!C40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'(4)F1 IMR'!B42</f>
        <v xml:space="preserve">              Lucrari protectia mediului</v>
      </c>
      <c r="D23" s="273"/>
      <c r="E23" s="8">
        <f>'(4)F1 IMR'!C42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1">ROUND(E24/$F$7,2)</f>
        <v>0</v>
      </c>
      <c r="G24" s="8">
        <f t="shared" ref="G24" si="12">ROUND(E24*$K$3,2)</f>
        <v>0</v>
      </c>
      <c r="H24" s="8">
        <f t="shared" ref="H24" si="13">E24+G24</f>
        <v>0</v>
      </c>
      <c r="I24" s="8">
        <f t="shared" ref="I24" si="14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5">F16++F17+F22+F24</f>
        <v>0</v>
      </c>
      <c r="G25" s="26">
        <f t="shared" si="15"/>
        <v>0</v>
      </c>
      <c r="H25" s="26">
        <f t="shared" si="15"/>
        <v>0</v>
      </c>
      <c r="I25" s="26">
        <f t="shared" si="15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6">ROUND(E27/$F$7,2)</f>
        <v>0</v>
      </c>
      <c r="G27" s="8">
        <f t="shared" ref="G27" si="17">ROUND(E27*$K$3,2)</f>
        <v>0</v>
      </c>
      <c r="H27" s="8">
        <f t="shared" ref="H27" si="18">E27+G27</f>
        <v>0</v>
      </c>
      <c r="I27" s="8">
        <f t="shared" ref="I27" si="19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20">F27</f>
        <v>0</v>
      </c>
      <c r="G28" s="26">
        <f t="shared" si="20"/>
        <v>0</v>
      </c>
      <c r="H28" s="26">
        <f t="shared" si="20"/>
        <v>0</v>
      </c>
      <c r="I28" s="26">
        <f t="shared" si="20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1">SUM(F31:F33)</f>
        <v>0</v>
      </c>
      <c r="G30" s="27">
        <f t="shared" si="21"/>
        <v>0</v>
      </c>
      <c r="H30" s="27">
        <f t="shared" si="21"/>
        <v>0</v>
      </c>
      <c r="I30" s="27">
        <f t="shared" si="21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2">ROUND(E31/$F$7,2)</f>
        <v>0</v>
      </c>
      <c r="G31" s="8">
        <f t="shared" ref="G31:G36" si="23">ROUND(E31*$K$3,2)</f>
        <v>0</v>
      </c>
      <c r="H31" s="8">
        <f t="shared" ref="H31:H36" si="24">E31+G31</f>
        <v>0</v>
      </c>
      <c r="I31" s="8">
        <f t="shared" ref="I31:I36" si="25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2"/>
        <v>0</v>
      </c>
      <c r="G32" s="8">
        <f t="shared" si="23"/>
        <v>0</v>
      </c>
      <c r="H32" s="8">
        <f t="shared" si="24"/>
        <v>0</v>
      </c>
      <c r="I32" s="8">
        <f t="shared" si="25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2"/>
        <v>0</v>
      </c>
      <c r="G33" s="8">
        <f t="shared" si="23"/>
        <v>0</v>
      </c>
      <c r="H33" s="8">
        <f t="shared" si="24"/>
        <v>0</v>
      </c>
      <c r="I33" s="8">
        <f t="shared" si="25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2"/>
        <v>0</v>
      </c>
      <c r="G34" s="8">
        <f t="shared" si="23"/>
        <v>0</v>
      </c>
      <c r="H34" s="8">
        <f t="shared" si="24"/>
        <v>0</v>
      </c>
      <c r="I34" s="8">
        <f t="shared" si="25"/>
        <v>0</v>
      </c>
      <c r="J34" s="7">
        <v>1</v>
      </c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2"/>
        <v>0</v>
      </c>
      <c r="G35" s="8">
        <f t="shared" si="23"/>
        <v>0</v>
      </c>
      <c r="H35" s="8">
        <f t="shared" si="24"/>
        <v>0</v>
      </c>
      <c r="I35" s="8">
        <f t="shared" si="25"/>
        <v>0</v>
      </c>
      <c r="J35" s="7">
        <v>0</v>
      </c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2"/>
        <v>0</v>
      </c>
      <c r="G36" s="8">
        <f t="shared" si="23"/>
        <v>0</v>
      </c>
      <c r="H36" s="8">
        <f t="shared" si="24"/>
        <v>0</v>
      </c>
      <c r="I36" s="8">
        <f t="shared" si="25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6">SUM(F38:F43)</f>
        <v>0</v>
      </c>
      <c r="G37" s="36">
        <f t="shared" si="26"/>
        <v>0</v>
      </c>
      <c r="H37" s="36">
        <f t="shared" si="26"/>
        <v>0</v>
      </c>
      <c r="I37" s="36">
        <f t="shared" si="26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7">ROUND(E38/$F$7,2)</f>
        <v>0</v>
      </c>
      <c r="G38" s="8">
        <f t="shared" ref="G38:G43" si="28">ROUND(E38*$K$3,2)</f>
        <v>0</v>
      </c>
      <c r="H38" s="8">
        <f t="shared" ref="H38:H44" si="29">E38+G38</f>
        <v>0</v>
      </c>
      <c r="I38" s="8">
        <f t="shared" ref="I38:I44" si="30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7"/>
        <v>0</v>
      </c>
      <c r="G39" s="8">
        <f t="shared" si="28"/>
        <v>0</v>
      </c>
      <c r="H39" s="8">
        <f t="shared" si="29"/>
        <v>0</v>
      </c>
      <c r="I39" s="8">
        <f t="shared" si="30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7"/>
        <v>0</v>
      </c>
      <c r="G40" s="8">
        <f t="shared" si="28"/>
        <v>0</v>
      </c>
      <c r="H40" s="8">
        <f t="shared" si="29"/>
        <v>0</v>
      </c>
      <c r="I40" s="8">
        <f t="shared" si="30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7"/>
        <v>0</v>
      </c>
      <c r="G41" s="8">
        <f t="shared" si="28"/>
        <v>0</v>
      </c>
      <c r="H41" s="8">
        <f t="shared" si="29"/>
        <v>0</v>
      </c>
      <c r="I41" s="8">
        <f t="shared" si="30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7"/>
        <v>0</v>
      </c>
      <c r="G42" s="8">
        <f t="shared" si="28"/>
        <v>0</v>
      </c>
      <c r="H42" s="8">
        <f t="shared" si="29"/>
        <v>0</v>
      </c>
      <c r="I42" s="8">
        <f t="shared" si="30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7"/>
        <v>0</v>
      </c>
      <c r="G43" s="8">
        <f t="shared" si="28"/>
        <v>0</v>
      </c>
      <c r="H43" s="8">
        <f t="shared" si="29"/>
        <v>0</v>
      </c>
      <c r="I43" s="8">
        <f t="shared" si="30"/>
        <v>0</v>
      </c>
      <c r="J43" s="7">
        <v>4</v>
      </c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7"/>
        <v>0</v>
      </c>
      <c r="G44" s="8">
        <v>0</v>
      </c>
      <c r="H44" s="8">
        <f t="shared" si="29"/>
        <v>0</v>
      </c>
      <c r="I44" s="8">
        <f t="shared" si="30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31">F47+F48</f>
        <v>0</v>
      </c>
      <c r="G46" s="33">
        <f t="shared" si="31"/>
        <v>0</v>
      </c>
      <c r="H46" s="33">
        <f t="shared" si="31"/>
        <v>0</v>
      </c>
      <c r="I46" s="33">
        <f t="shared" si="31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2">ROUND(E47/$F$7,2)</f>
        <v>0</v>
      </c>
      <c r="G47" s="8">
        <v>0</v>
      </c>
      <c r="H47" s="8">
        <f t="shared" ref="H47:H48" si="33">E47+G47</f>
        <v>0</v>
      </c>
      <c r="I47" s="8">
        <f t="shared" ref="I47:I48" si="34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2"/>
        <v>0</v>
      </c>
      <c r="G48" s="8">
        <f t="shared" ref="G48" si="35">ROUND(E48*$K$3,2)</f>
        <v>0</v>
      </c>
      <c r="H48" s="8">
        <f t="shared" si="33"/>
        <v>0</v>
      </c>
      <c r="I48" s="8">
        <f t="shared" si="34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36">ROUND(E49/$F$7,2)</f>
        <v>0</v>
      </c>
      <c r="G49" s="8">
        <f t="shared" ref="G49" si="37">ROUND(E49*$K$3,2)</f>
        <v>0</v>
      </c>
      <c r="H49" s="8">
        <f t="shared" ref="H49" si="38">E49+G49</f>
        <v>0</v>
      </c>
      <c r="I49" s="8">
        <f t="shared" ref="I49" si="39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40">F51+F54</f>
        <v>0</v>
      </c>
      <c r="G50" s="36">
        <f t="shared" si="40"/>
        <v>0</v>
      </c>
      <c r="H50" s="36">
        <f t="shared" si="40"/>
        <v>0</v>
      </c>
      <c r="I50" s="36">
        <f t="shared" si="40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1">F53+F52</f>
        <v>0</v>
      </c>
      <c r="G51" s="36">
        <f t="shared" si="41"/>
        <v>0</v>
      </c>
      <c r="H51" s="36">
        <f t="shared" si="41"/>
        <v>0</v>
      </c>
      <c r="I51" s="36">
        <f t="shared" si="41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2">ROUND(E52/$F$7,2)</f>
        <v>0</v>
      </c>
      <c r="G52" s="8">
        <f t="shared" ref="G52:G53" si="43">ROUND(E52*$K$3,2)</f>
        <v>0</v>
      </c>
      <c r="H52" s="8">
        <f t="shared" ref="H52:H54" si="44">E52+G52</f>
        <v>0</v>
      </c>
      <c r="I52" s="8">
        <f t="shared" ref="I52:I54" si="45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42"/>
        <v>0</v>
      </c>
      <c r="G53" s="8">
        <f t="shared" si="43"/>
        <v>0</v>
      </c>
      <c r="H53" s="8">
        <f t="shared" si="44"/>
        <v>0</v>
      </c>
      <c r="I53" s="8">
        <f t="shared" si="45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2"/>
        <v>0</v>
      </c>
      <c r="G54" s="8">
        <v>0</v>
      </c>
      <c r="H54" s="8">
        <f t="shared" si="44"/>
        <v>0</v>
      </c>
      <c r="I54" s="8">
        <f t="shared" si="45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>ROUND(E57/$F$7,2)</f>
        <v>0</v>
      </c>
      <c r="G57" s="9">
        <f t="shared" ref="G57:G72" si="46">ROUND(E57*$K$3,2)</f>
        <v>0</v>
      </c>
      <c r="H57" s="9">
        <f t="shared" ref="H57:H72" si="47">E57+G57</f>
        <v>0</v>
      </c>
      <c r="I57" s="9">
        <f t="shared" ref="I57:I72" si="48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'(4)F1 IMR'!H55</f>
        <v>0</v>
      </c>
      <c r="F58" s="8">
        <f t="shared" ref="F58:F72" si="49">ROUND(E58/$F$7,2)</f>
        <v>0</v>
      </c>
      <c r="G58" s="8">
        <f t="shared" si="46"/>
        <v>0</v>
      </c>
      <c r="H58" s="8">
        <f t="shared" si="47"/>
        <v>0</v>
      </c>
      <c r="I58" s="8">
        <f t="shared" si="48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'(4)F1 IMR'!H56</f>
        <v>0</v>
      </c>
      <c r="F59" s="8">
        <f t="shared" si="49"/>
        <v>0</v>
      </c>
      <c r="G59" s="8">
        <f t="shared" si="46"/>
        <v>0</v>
      </c>
      <c r="H59" s="8">
        <f t="shared" si="47"/>
        <v>0</v>
      </c>
      <c r="I59" s="8">
        <f t="shared" si="48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'(4)F1 IMR'!H57</f>
        <v>0</v>
      </c>
      <c r="F60" s="8">
        <f t="shared" si="49"/>
        <v>0</v>
      </c>
      <c r="G60" s="8">
        <f t="shared" si="46"/>
        <v>0</v>
      </c>
      <c r="H60" s="8">
        <f t="shared" si="47"/>
        <v>0</v>
      </c>
      <c r="I60" s="8">
        <f t="shared" si="48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'(4)F1 IMR'!H58</f>
        <v>0</v>
      </c>
      <c r="F61" s="8">
        <f t="shared" si="49"/>
        <v>0</v>
      </c>
      <c r="G61" s="8">
        <f t="shared" si="46"/>
        <v>0</v>
      </c>
      <c r="H61" s="8">
        <f t="shared" si="47"/>
        <v>0</v>
      </c>
      <c r="I61" s="8">
        <f t="shared" si="48"/>
        <v>0</v>
      </c>
    </row>
    <row r="62" spans="1:10" x14ac:dyDescent="0.25">
      <c r="A62" s="40"/>
      <c r="B62" s="107"/>
      <c r="C62" s="270" t="s">
        <v>158</v>
      </c>
      <c r="D62" s="271"/>
      <c r="E62" s="8">
        <f>'(4)F1 IMR'!H59</f>
        <v>0</v>
      </c>
      <c r="F62" s="8">
        <f t="shared" si="49"/>
        <v>0</v>
      </c>
      <c r="G62" s="8">
        <f t="shared" si="46"/>
        <v>0</v>
      </c>
      <c r="H62" s="8">
        <f t="shared" si="47"/>
        <v>0</v>
      </c>
      <c r="I62" s="8">
        <f t="shared" si="48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9"/>
        <v>0</v>
      </c>
      <c r="G63" s="9">
        <f t="shared" si="46"/>
        <v>0</v>
      </c>
      <c r="H63" s="9">
        <f t="shared" si="47"/>
        <v>0</v>
      </c>
      <c r="I63" s="9">
        <f t="shared" si="48"/>
        <v>0</v>
      </c>
    </row>
    <row r="64" spans="1:10" x14ac:dyDescent="0.25">
      <c r="A64" s="46"/>
      <c r="B64" s="28"/>
      <c r="C64" s="272" t="s">
        <v>682</v>
      </c>
      <c r="D64" s="273"/>
      <c r="E64" s="33">
        <f>'(4)F1 IMR'!H100</f>
        <v>0</v>
      </c>
      <c r="F64" s="8">
        <f t="shared" si="49"/>
        <v>0</v>
      </c>
      <c r="G64" s="8">
        <f t="shared" si="46"/>
        <v>0</v>
      </c>
      <c r="H64" s="8">
        <f t="shared" si="47"/>
        <v>0</v>
      </c>
      <c r="I64" s="8">
        <f t="shared" si="48"/>
        <v>0</v>
      </c>
    </row>
    <row r="65" spans="1:10" x14ac:dyDescent="0.25">
      <c r="A65" s="46"/>
      <c r="B65" s="28"/>
      <c r="C65" s="272" t="s">
        <v>683</v>
      </c>
      <c r="D65" s="273"/>
      <c r="E65" s="33">
        <f>'(4)F1 IMR'!H101</f>
        <v>0</v>
      </c>
      <c r="F65" s="8">
        <f t="shared" si="49"/>
        <v>0</v>
      </c>
      <c r="G65" s="8">
        <f t="shared" si="46"/>
        <v>0</v>
      </c>
      <c r="H65" s="8">
        <f t="shared" si="47"/>
        <v>0</v>
      </c>
      <c r="I65" s="8">
        <f t="shared" si="48"/>
        <v>0</v>
      </c>
    </row>
    <row r="66" spans="1:10" x14ac:dyDescent="0.25">
      <c r="A66" s="40"/>
      <c r="B66" s="107"/>
      <c r="C66" s="272" t="s">
        <v>684</v>
      </c>
      <c r="D66" s="273"/>
      <c r="E66" s="8">
        <f>'(4)F1 IMR'!H102</f>
        <v>0</v>
      </c>
      <c r="F66" s="8">
        <f t="shared" si="49"/>
        <v>0</v>
      </c>
      <c r="G66" s="8">
        <f t="shared" si="46"/>
        <v>0</v>
      </c>
      <c r="H66" s="8">
        <f t="shared" si="47"/>
        <v>0</v>
      </c>
      <c r="I66" s="8">
        <f t="shared" si="48"/>
        <v>0</v>
      </c>
    </row>
    <row r="67" spans="1:10" x14ac:dyDescent="0.25">
      <c r="A67" s="40"/>
      <c r="B67" s="107"/>
      <c r="C67" s="272" t="s">
        <v>685</v>
      </c>
      <c r="D67" s="273"/>
      <c r="E67" s="8">
        <f>'(4)F1 IMR'!H103</f>
        <v>0</v>
      </c>
      <c r="F67" s="8">
        <f t="shared" si="49"/>
        <v>0</v>
      </c>
      <c r="G67" s="8">
        <f t="shared" si="46"/>
        <v>0</v>
      </c>
      <c r="H67" s="8">
        <f t="shared" si="47"/>
        <v>0</v>
      </c>
      <c r="I67" s="8">
        <f t="shared" si="48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9"/>
        <v>0</v>
      </c>
      <c r="G68" s="9">
        <f t="shared" si="46"/>
        <v>0</v>
      </c>
      <c r="H68" s="9">
        <f t="shared" si="47"/>
        <v>0</v>
      </c>
      <c r="I68" s="9">
        <f t="shared" si="48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'(4)F1 IMR'!H114</f>
        <v>0</v>
      </c>
      <c r="F69" s="8">
        <f t="shared" si="49"/>
        <v>0</v>
      </c>
      <c r="G69" s="8">
        <f t="shared" si="46"/>
        <v>0</v>
      </c>
      <c r="H69" s="8">
        <f t="shared" si="47"/>
        <v>0</v>
      </c>
      <c r="I69" s="8">
        <f t="shared" si="48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'(4)F1 IMR'!H115</f>
        <v>0</v>
      </c>
      <c r="F70" s="8">
        <f t="shared" si="49"/>
        <v>0</v>
      </c>
      <c r="G70" s="8">
        <f t="shared" si="46"/>
        <v>0</v>
      </c>
      <c r="H70" s="8">
        <f t="shared" si="47"/>
        <v>0</v>
      </c>
      <c r="I70" s="8">
        <f t="shared" si="48"/>
        <v>0</v>
      </c>
    </row>
    <row r="71" spans="1:10" x14ac:dyDescent="0.25">
      <c r="A71" s="53"/>
      <c r="B71" s="114"/>
      <c r="C71" s="272" t="s">
        <v>684</v>
      </c>
      <c r="D71" s="273"/>
      <c r="E71" s="8">
        <f>'(4)F1 IMR'!H116</f>
        <v>0</v>
      </c>
      <c r="F71" s="8">
        <f t="shared" si="49"/>
        <v>0</v>
      </c>
      <c r="G71" s="8">
        <f t="shared" si="46"/>
        <v>0</v>
      </c>
      <c r="H71" s="8">
        <f t="shared" si="47"/>
        <v>0</v>
      </c>
      <c r="I71" s="8">
        <f t="shared" si="48"/>
        <v>0</v>
      </c>
    </row>
    <row r="72" spans="1:10" x14ac:dyDescent="0.25">
      <c r="A72" s="53"/>
      <c r="B72" s="114"/>
      <c r="C72" s="272" t="s">
        <v>685</v>
      </c>
      <c r="D72" s="273"/>
      <c r="E72" s="8">
        <f>'(4)F1 IMR'!H117</f>
        <v>0</v>
      </c>
      <c r="F72" s="8">
        <f t="shared" si="49"/>
        <v>0</v>
      </c>
      <c r="G72" s="8">
        <f t="shared" si="46"/>
        <v>0</v>
      </c>
      <c r="H72" s="8">
        <f t="shared" si="47"/>
        <v>0</v>
      </c>
      <c r="I72" s="8">
        <f t="shared" si="48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5" si="50">ROUND(E73/$F$7,2)</f>
        <v>0</v>
      </c>
      <c r="G73" s="8">
        <f t="shared" ref="G73:G75" si="51">ROUND(E73*$K$3,2)</f>
        <v>0</v>
      </c>
      <c r="H73" s="8">
        <f t="shared" ref="H73:H75" si="52">E73+G73</f>
        <v>0</v>
      </c>
      <c r="I73" s="8">
        <f t="shared" ref="I73:I75" si="53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50"/>
        <v>0</v>
      </c>
      <c r="G74" s="8">
        <f t="shared" si="51"/>
        <v>0</v>
      </c>
      <c r="H74" s="8">
        <f t="shared" si="52"/>
        <v>0</v>
      </c>
      <c r="I74" s="8">
        <f t="shared" si="53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50"/>
        <v>0</v>
      </c>
      <c r="G75" s="8">
        <f t="shared" si="51"/>
        <v>0</v>
      </c>
      <c r="H75" s="8">
        <f t="shared" si="52"/>
        <v>0</v>
      </c>
      <c r="I75" s="8">
        <f t="shared" si="53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54">SUM(F79:F80)</f>
        <v>0</v>
      </c>
      <c r="G78" s="29">
        <f t="shared" si="54"/>
        <v>0</v>
      </c>
      <c r="H78" s="29">
        <f t="shared" si="54"/>
        <v>0</v>
      </c>
      <c r="I78" s="29">
        <f t="shared" si="54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55">ROUND(E79/$F$7,2)</f>
        <v>0</v>
      </c>
      <c r="G79" s="8">
        <f t="shared" ref="G79:G80" si="56">ROUND(E79*$K$3,2)</f>
        <v>0</v>
      </c>
      <c r="H79" s="8">
        <f t="shared" ref="H79:H80" si="57">E79+G79</f>
        <v>0</v>
      </c>
      <c r="I79" s="8">
        <f t="shared" ref="I79:I80" si="58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55"/>
        <v>0</v>
      </c>
      <c r="G80" s="8">
        <f t="shared" si="56"/>
        <v>0</v>
      </c>
      <c r="H80" s="8">
        <f t="shared" si="57"/>
        <v>0</v>
      </c>
      <c r="I80" s="8">
        <f t="shared" si="58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59">SUM(F82:F86)</f>
        <v>0</v>
      </c>
      <c r="G81" s="27">
        <f t="shared" si="59"/>
        <v>0</v>
      </c>
      <c r="H81" s="27">
        <f t="shared" si="59"/>
        <v>0</v>
      </c>
      <c r="I81" s="27">
        <f t="shared" si="59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60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>E83/4.9</f>
        <v>0</v>
      </c>
      <c r="G83" s="8">
        <v>0</v>
      </c>
      <c r="H83" s="8">
        <f t="shared" ref="H83:H88" si="61">E83+G83</f>
        <v>0</v>
      </c>
      <c r="I83" s="8">
        <f t="shared" ref="I83:I88" si="62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ref="F84:F86" si="63">E84/4.9</f>
        <v>0</v>
      </c>
      <c r="G84" s="8">
        <v>0</v>
      </c>
      <c r="H84" s="8">
        <f t="shared" si="61"/>
        <v>0</v>
      </c>
      <c r="I84" s="8">
        <f t="shared" si="62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63"/>
        <v>0</v>
      </c>
      <c r="G85" s="8">
        <v>0</v>
      </c>
      <c r="H85" s="8">
        <f t="shared" si="61"/>
        <v>0</v>
      </c>
      <c r="I85" s="8">
        <f t="shared" si="62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63"/>
        <v>0</v>
      </c>
      <c r="G86" s="8">
        <f>E86*0</f>
        <v>0</v>
      </c>
      <c r="H86" s="8">
        <f t="shared" si="61"/>
        <v>0</v>
      </c>
      <c r="I86" s="8">
        <f t="shared" si="62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ref="F87:F88" si="64">ROUND(E87/$F$7,2)</f>
        <v>0</v>
      </c>
      <c r="G87" s="8">
        <f t="shared" ref="G87:G88" si="65">ROUND(E87*$K$3,2)</f>
        <v>0</v>
      </c>
      <c r="H87" s="8">
        <f t="shared" si="61"/>
        <v>0</v>
      </c>
      <c r="I87" s="8">
        <f t="shared" si="62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64"/>
        <v>0</v>
      </c>
      <c r="G88" s="8">
        <f t="shared" si="65"/>
        <v>0</v>
      </c>
      <c r="H88" s="8">
        <f t="shared" si="61"/>
        <v>0</v>
      </c>
      <c r="I88" s="8">
        <f t="shared" si="62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66">F78+F81+F87+F88</f>
        <v>0</v>
      </c>
      <c r="G89" s="31">
        <f t="shared" si="66"/>
        <v>0</v>
      </c>
      <c r="H89" s="31">
        <f t="shared" si="66"/>
        <v>0</v>
      </c>
      <c r="I89" s="31">
        <f t="shared" si="66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67">ROUND(E91/$F$7,2)</f>
        <v>0</v>
      </c>
      <c r="G91" s="8">
        <f t="shared" ref="G91" si="68">ROUND(E91*$K$3,2)</f>
        <v>0</v>
      </c>
      <c r="H91" s="8">
        <f t="shared" ref="H91:H92" si="69">E91+G91</f>
        <v>0</v>
      </c>
      <c r="I91" s="8">
        <f t="shared" ref="I91:I92" si="70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67"/>
        <v>0</v>
      </c>
      <c r="G92" s="8">
        <v>0</v>
      </c>
      <c r="H92" s="8">
        <f t="shared" si="69"/>
        <v>0</v>
      </c>
      <c r="I92" s="8">
        <f t="shared" si="70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71">SUM(F91:F92)</f>
        <v>0</v>
      </c>
      <c r="G93" s="30">
        <f t="shared" si="71"/>
        <v>0</v>
      </c>
      <c r="H93" s="30">
        <f t="shared" si="71"/>
        <v>0</v>
      </c>
      <c r="I93" s="30">
        <f t="shared" si="71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72">E95/4.9</f>
        <v>0</v>
      </c>
      <c r="G95" s="21">
        <f t="shared" ref="G95:G96" si="73">E95*0.19</f>
        <v>0</v>
      </c>
      <c r="H95" s="21">
        <f t="shared" ref="H95:H96" si="74">E95+G95</f>
        <v>0</v>
      </c>
      <c r="I95" s="21">
        <f t="shared" ref="I95:I96" si="75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72"/>
        <v>0</v>
      </c>
      <c r="G96" s="21">
        <f t="shared" si="73"/>
        <v>0</v>
      </c>
      <c r="H96" s="21">
        <f t="shared" si="74"/>
        <v>0</v>
      </c>
      <c r="I96" s="21">
        <f t="shared" si="75"/>
        <v>0</v>
      </c>
      <c r="M96" s="1" t="s">
        <v>156</v>
      </c>
      <c r="N96" s="54">
        <f>SUM(N93:N95)</f>
        <v>0</v>
      </c>
      <c r="O96" s="127">
        <f>N96-'(4)F1 IMR'!C132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92:D92"/>
    <mergeCell ref="C85:D85"/>
    <mergeCell ref="C86:D86"/>
    <mergeCell ref="C88:D88"/>
    <mergeCell ref="C89:D89"/>
    <mergeCell ref="C91:D91"/>
    <mergeCell ref="C74:D74"/>
    <mergeCell ref="C75:D75"/>
    <mergeCell ref="C58:D58"/>
    <mergeCell ref="C59:D59"/>
    <mergeCell ref="C60:D60"/>
    <mergeCell ref="C61:D61"/>
    <mergeCell ref="C73:D73"/>
    <mergeCell ref="B50:D50"/>
    <mergeCell ref="B51:D51"/>
    <mergeCell ref="B52:D52"/>
    <mergeCell ref="B53:D53"/>
    <mergeCell ref="B54:D54"/>
    <mergeCell ref="C72:D72"/>
    <mergeCell ref="B42:D42"/>
    <mergeCell ref="C47:D47"/>
    <mergeCell ref="C48:D48"/>
    <mergeCell ref="C57:D57"/>
    <mergeCell ref="C63:D63"/>
    <mergeCell ref="B37:D37"/>
    <mergeCell ref="B38:D38"/>
    <mergeCell ref="B39:D39"/>
    <mergeCell ref="B40:D40"/>
    <mergeCell ref="B41:D41"/>
    <mergeCell ref="C32:D32"/>
    <mergeCell ref="C33:D33"/>
    <mergeCell ref="C34:D34"/>
    <mergeCell ref="C35:D35"/>
    <mergeCell ref="C36:D36"/>
    <mergeCell ref="C18:D18"/>
    <mergeCell ref="C19:D19"/>
    <mergeCell ref="C21:D21"/>
    <mergeCell ref="C23:D23"/>
    <mergeCell ref="C20:D20"/>
    <mergeCell ref="B13:D13"/>
    <mergeCell ref="C14:D14"/>
    <mergeCell ref="B15:D15"/>
    <mergeCell ref="C16:D16"/>
    <mergeCell ref="C17:D17"/>
    <mergeCell ref="A8:C8"/>
    <mergeCell ref="H8:I8"/>
    <mergeCell ref="B9:D12"/>
    <mergeCell ref="E9:F11"/>
    <mergeCell ref="G9:G11"/>
    <mergeCell ref="H9:I10"/>
    <mergeCell ref="H11:I11"/>
    <mergeCell ref="C7:D7"/>
    <mergeCell ref="F1:G1"/>
    <mergeCell ref="A2:C2"/>
    <mergeCell ref="A3:I3"/>
    <mergeCell ref="A4:I4"/>
    <mergeCell ref="A5:I5"/>
    <mergeCell ref="A6:I6"/>
    <mergeCell ref="A96:D96"/>
    <mergeCell ref="C62:D62"/>
    <mergeCell ref="C64:D64"/>
    <mergeCell ref="C65:D65"/>
    <mergeCell ref="C66:D66"/>
    <mergeCell ref="C67:D67"/>
    <mergeCell ref="C84:D84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C69:D69"/>
    <mergeCell ref="C70:D70"/>
    <mergeCell ref="C71:D71"/>
    <mergeCell ref="C25:D25"/>
    <mergeCell ref="B26:D26"/>
    <mergeCell ref="C27:D27"/>
    <mergeCell ref="C28:D28"/>
    <mergeCell ref="B29:D29"/>
    <mergeCell ref="C30:D30"/>
    <mergeCell ref="C55:D55"/>
    <mergeCell ref="B44:D44"/>
    <mergeCell ref="B45:D45"/>
    <mergeCell ref="B46:D46"/>
    <mergeCell ref="B49:D49"/>
    <mergeCell ref="C31:D31"/>
    <mergeCell ref="B43:D43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37:I37 F22:I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DD279-8AE7-4786-A709-F0E652679F5F}">
  <dimension ref="A1:O100"/>
  <sheetViews>
    <sheetView view="pageBreakPreview" zoomScale="150" zoomScaleNormal="100" zoomScaleSheetLayoutView="15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3.8984375" style="1" customWidth="1"/>
    <col min="13" max="13" width="13.5" style="1" customWidth="1"/>
    <col min="14" max="14" width="11.69921875" style="1" customWidth="1"/>
    <col min="15" max="15" width="10.898437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DG!D80</f>
        <v>Statia 110/20 kV PAL Neamt, jud. NT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:F23" si="2">ROUND(E17/$F$7,2)</f>
        <v>0</v>
      </c>
      <c r="G17" s="9">
        <f t="shared" ref="G17:G23" si="3">ROUND(E17*$K$3,2)</f>
        <v>0</v>
      </c>
      <c r="H17" s="9">
        <f t="shared" ref="H17:H23" si="4">E17+G17</f>
        <v>0</v>
      </c>
      <c r="I17" s="9">
        <f t="shared" ref="I17:I23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'(5)F1 PAL'!H17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'(5)F1 PAL'!H18</f>
        <v>0</v>
      </c>
      <c r="F19" s="8">
        <f t="shared" ref="F19:F21" si="6">ROUND(E19/$F$7,2)</f>
        <v>0</v>
      </c>
      <c r="G19" s="8">
        <f t="shared" ref="G19:G21" si="7">ROUND(E19*$K$3,2)</f>
        <v>0</v>
      </c>
      <c r="H19" s="8">
        <f t="shared" ref="H19:H21" si="8">E19+G19</f>
        <v>0</v>
      </c>
      <c r="I19" s="8">
        <f t="shared" ref="I19:I21" si="9">ROUND(G19/$F$7,2)+F19</f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'(5)F1 PAL'!H19</f>
        <v>0</v>
      </c>
      <c r="F20" s="8">
        <f t="shared" si="6"/>
        <v>0</v>
      </c>
      <c r="G20" s="8">
        <f t="shared" si="7"/>
        <v>0</v>
      </c>
      <c r="H20" s="8">
        <f t="shared" si="8"/>
        <v>0</v>
      </c>
      <c r="I20" s="8">
        <f t="shared" si="9"/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'(5)F1 PAL'!H20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'(5)F1 PAL'!C36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'(6)F1 PNG'!B41</f>
        <v>LUCRARI DE PROTECTIA MEDIULUI</v>
      </c>
      <c r="D23" s="273"/>
      <c r="E23" s="8">
        <f>'(5)F1 PAL'!C38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1">ROUND(E24/$F$7,2)</f>
        <v>0</v>
      </c>
      <c r="G24" s="8">
        <f t="shared" ref="G24" si="12">ROUND(E24*$K$3,2)</f>
        <v>0</v>
      </c>
      <c r="H24" s="8">
        <f t="shared" ref="H24" si="13">E24+G24</f>
        <v>0</v>
      </c>
      <c r="I24" s="8">
        <f t="shared" ref="I24" si="14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5">F16++F17+F22+F24</f>
        <v>0</v>
      </c>
      <c r="G25" s="26">
        <f t="shared" si="15"/>
        <v>0</v>
      </c>
      <c r="H25" s="26">
        <f t="shared" si="15"/>
        <v>0</v>
      </c>
      <c r="I25" s="26">
        <f t="shared" si="15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6">ROUND(E27/$F$7,2)</f>
        <v>0</v>
      </c>
      <c r="G27" s="8">
        <f t="shared" ref="G27" si="17">ROUND(E27*$K$3,2)</f>
        <v>0</v>
      </c>
      <c r="H27" s="8">
        <f t="shared" ref="H27" si="18">E27+G27</f>
        <v>0</v>
      </c>
      <c r="I27" s="8">
        <f t="shared" ref="I27" si="19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20">F27</f>
        <v>0</v>
      </c>
      <c r="G28" s="26">
        <f t="shared" si="20"/>
        <v>0</v>
      </c>
      <c r="H28" s="26">
        <f t="shared" si="20"/>
        <v>0</v>
      </c>
      <c r="I28" s="26">
        <f t="shared" si="20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1">SUM(F31:F33)</f>
        <v>0</v>
      </c>
      <c r="G30" s="27">
        <f t="shared" si="21"/>
        <v>0</v>
      </c>
      <c r="H30" s="27">
        <f t="shared" si="21"/>
        <v>0</v>
      </c>
      <c r="I30" s="27">
        <f t="shared" si="21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2">ROUND(E31/$F$7,2)</f>
        <v>0</v>
      </c>
      <c r="G31" s="8">
        <f t="shared" ref="G31:G36" si="23">ROUND(E31*$K$3,2)</f>
        <v>0</v>
      </c>
      <c r="H31" s="8">
        <f t="shared" ref="H31:H36" si="24">E31+G31</f>
        <v>0</v>
      </c>
      <c r="I31" s="8">
        <f t="shared" ref="I31:I36" si="25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2"/>
        <v>0</v>
      </c>
      <c r="G32" s="8">
        <f t="shared" si="23"/>
        <v>0</v>
      </c>
      <c r="H32" s="8">
        <f t="shared" si="24"/>
        <v>0</v>
      </c>
      <c r="I32" s="8">
        <f t="shared" si="25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2"/>
        <v>0</v>
      </c>
      <c r="G33" s="8">
        <f t="shared" si="23"/>
        <v>0</v>
      </c>
      <c r="H33" s="8">
        <f t="shared" si="24"/>
        <v>0</v>
      </c>
      <c r="I33" s="8">
        <f t="shared" si="25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2"/>
        <v>0</v>
      </c>
      <c r="G34" s="8">
        <f t="shared" si="23"/>
        <v>0</v>
      </c>
      <c r="H34" s="8">
        <f t="shared" si="24"/>
        <v>0</v>
      </c>
      <c r="I34" s="8">
        <f t="shared" si="25"/>
        <v>0</v>
      </c>
      <c r="J34" s="7"/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2"/>
        <v>0</v>
      </c>
      <c r="G35" s="8">
        <f t="shared" si="23"/>
        <v>0</v>
      </c>
      <c r="H35" s="8">
        <f t="shared" si="24"/>
        <v>0</v>
      </c>
      <c r="I35" s="8">
        <f t="shared" si="25"/>
        <v>0</v>
      </c>
      <c r="J35" s="7"/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2"/>
        <v>0</v>
      </c>
      <c r="G36" s="8">
        <f t="shared" si="23"/>
        <v>0</v>
      </c>
      <c r="H36" s="8">
        <f t="shared" si="24"/>
        <v>0</v>
      </c>
      <c r="I36" s="8">
        <f t="shared" si="25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6">SUM(F38:F43)</f>
        <v>0</v>
      </c>
      <c r="G37" s="36">
        <f t="shared" si="26"/>
        <v>0</v>
      </c>
      <c r="H37" s="36">
        <f t="shared" si="26"/>
        <v>0</v>
      </c>
      <c r="I37" s="36">
        <f t="shared" si="26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7">ROUND(E38/$F$7,2)</f>
        <v>0</v>
      </c>
      <c r="G38" s="8">
        <f t="shared" ref="G38:G43" si="28">ROUND(E38*$K$3,2)</f>
        <v>0</v>
      </c>
      <c r="H38" s="8">
        <f t="shared" ref="H38:H44" si="29">E38+G38</f>
        <v>0</v>
      </c>
      <c r="I38" s="8">
        <f t="shared" ref="I38:I44" si="30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7"/>
        <v>0</v>
      </c>
      <c r="G39" s="8">
        <f t="shared" si="28"/>
        <v>0</v>
      </c>
      <c r="H39" s="8">
        <f t="shared" si="29"/>
        <v>0</v>
      </c>
      <c r="I39" s="8">
        <f t="shared" si="30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7"/>
        <v>0</v>
      </c>
      <c r="G40" s="8">
        <f t="shared" si="28"/>
        <v>0</v>
      </c>
      <c r="H40" s="8">
        <f t="shared" si="29"/>
        <v>0</v>
      </c>
      <c r="I40" s="8">
        <f t="shared" si="30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7"/>
        <v>0</v>
      </c>
      <c r="G41" s="8">
        <f t="shared" si="28"/>
        <v>0</v>
      </c>
      <c r="H41" s="8">
        <f t="shared" si="29"/>
        <v>0</v>
      </c>
      <c r="I41" s="8">
        <f t="shared" si="30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7"/>
        <v>0</v>
      </c>
      <c r="G42" s="8">
        <f t="shared" si="28"/>
        <v>0</v>
      </c>
      <c r="H42" s="8">
        <f t="shared" si="29"/>
        <v>0</v>
      </c>
      <c r="I42" s="8">
        <f t="shared" si="30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7"/>
        <v>0</v>
      </c>
      <c r="G43" s="8">
        <f t="shared" si="28"/>
        <v>0</v>
      </c>
      <c r="H43" s="8">
        <f t="shared" si="29"/>
        <v>0</v>
      </c>
      <c r="I43" s="8">
        <f t="shared" si="30"/>
        <v>0</v>
      </c>
      <c r="J43" s="7"/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7"/>
        <v>0</v>
      </c>
      <c r="G44" s="8">
        <v>0</v>
      </c>
      <c r="H44" s="8">
        <f t="shared" si="29"/>
        <v>0</v>
      </c>
      <c r="I44" s="8">
        <f t="shared" si="30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31">F47+F48</f>
        <v>0</v>
      </c>
      <c r="G46" s="33">
        <f t="shared" si="31"/>
        <v>0</v>
      </c>
      <c r="H46" s="33">
        <f t="shared" si="31"/>
        <v>0</v>
      </c>
      <c r="I46" s="33">
        <f t="shared" si="31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2">ROUND(E47/$F$7,2)</f>
        <v>0</v>
      </c>
      <c r="G47" s="8">
        <v>0</v>
      </c>
      <c r="H47" s="8">
        <f t="shared" ref="H47:H48" si="33">E47+G47</f>
        <v>0</v>
      </c>
      <c r="I47" s="8">
        <f t="shared" ref="I47:I48" si="34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2"/>
        <v>0</v>
      </c>
      <c r="G48" s="8">
        <f t="shared" ref="G48" si="35">ROUND(E48*$K$3,2)</f>
        <v>0</v>
      </c>
      <c r="H48" s="8">
        <f t="shared" si="33"/>
        <v>0</v>
      </c>
      <c r="I48" s="8">
        <f t="shared" si="34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36">ROUND(E49/$F$7,2)</f>
        <v>0</v>
      </c>
      <c r="G49" s="8">
        <f t="shared" ref="G49" si="37">ROUND(E49*$K$3,2)</f>
        <v>0</v>
      </c>
      <c r="H49" s="8">
        <f t="shared" ref="H49" si="38">E49+G49</f>
        <v>0</v>
      </c>
      <c r="I49" s="8">
        <f t="shared" ref="I49" si="39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40">F51+F54</f>
        <v>0</v>
      </c>
      <c r="G50" s="36">
        <f t="shared" si="40"/>
        <v>0</v>
      </c>
      <c r="H50" s="36">
        <f t="shared" si="40"/>
        <v>0</v>
      </c>
      <c r="I50" s="36">
        <f t="shared" si="40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1">F53+F52</f>
        <v>0</v>
      </c>
      <c r="G51" s="36">
        <f t="shared" si="41"/>
        <v>0</v>
      </c>
      <c r="H51" s="36">
        <f t="shared" si="41"/>
        <v>0</v>
      </c>
      <c r="I51" s="36">
        <f t="shared" si="41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2">ROUND(E52/$F$7,2)</f>
        <v>0</v>
      </c>
      <c r="G52" s="8">
        <f t="shared" ref="G52:G53" si="43">ROUND(E52*$K$3,2)</f>
        <v>0</v>
      </c>
      <c r="H52" s="8">
        <f t="shared" ref="H52:H54" si="44">E52+G52</f>
        <v>0</v>
      </c>
      <c r="I52" s="8">
        <f t="shared" ref="I52:I54" si="45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42"/>
        <v>0</v>
      </c>
      <c r="G53" s="8">
        <f t="shared" si="43"/>
        <v>0</v>
      </c>
      <c r="H53" s="8">
        <f t="shared" si="44"/>
        <v>0</v>
      </c>
      <c r="I53" s="8">
        <f t="shared" si="45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2"/>
        <v>0</v>
      </c>
      <c r="G54" s="8">
        <v>0</v>
      </c>
      <c r="H54" s="8">
        <f t="shared" si="44"/>
        <v>0</v>
      </c>
      <c r="I54" s="8">
        <f t="shared" si="45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:F72" si="46">ROUND(E57/$F$7,2)</f>
        <v>0</v>
      </c>
      <c r="G57" s="9">
        <f t="shared" ref="G57:G72" si="47">ROUND(E57*$K$3,2)</f>
        <v>0</v>
      </c>
      <c r="H57" s="9">
        <f t="shared" ref="H57:H72" si="48">E57+G57</f>
        <v>0</v>
      </c>
      <c r="I57" s="9">
        <f t="shared" ref="I57:I72" si="49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'(5)F1 PAL'!H51</f>
        <v>0</v>
      </c>
      <c r="F58" s="8">
        <f t="shared" si="46"/>
        <v>0</v>
      </c>
      <c r="G58" s="8">
        <f t="shared" si="47"/>
        <v>0</v>
      </c>
      <c r="H58" s="8">
        <f t="shared" si="48"/>
        <v>0</v>
      </c>
      <c r="I58" s="8">
        <f t="shared" si="49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'(5)F1 PAL'!H52</f>
        <v>0</v>
      </c>
      <c r="F59" s="8">
        <f t="shared" si="46"/>
        <v>0</v>
      </c>
      <c r="G59" s="8">
        <f t="shared" si="47"/>
        <v>0</v>
      </c>
      <c r="H59" s="8">
        <f t="shared" si="48"/>
        <v>0</v>
      </c>
      <c r="I59" s="8">
        <f t="shared" si="49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'(5)F1 PAL'!H53</f>
        <v>0</v>
      </c>
      <c r="F60" s="8">
        <f t="shared" si="46"/>
        <v>0</v>
      </c>
      <c r="G60" s="8">
        <f t="shared" si="47"/>
        <v>0</v>
      </c>
      <c r="H60" s="8">
        <f t="shared" si="48"/>
        <v>0</v>
      </c>
      <c r="I60" s="8">
        <f t="shared" si="49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'(5)F1 PAL'!H54</f>
        <v>0</v>
      </c>
      <c r="F61" s="8">
        <f t="shared" si="46"/>
        <v>0</v>
      </c>
      <c r="G61" s="8">
        <f t="shared" si="47"/>
        <v>0</v>
      </c>
      <c r="H61" s="8">
        <f t="shared" si="48"/>
        <v>0</v>
      </c>
      <c r="I61" s="8">
        <f t="shared" si="49"/>
        <v>0</v>
      </c>
    </row>
    <row r="62" spans="1:10" x14ac:dyDescent="0.25">
      <c r="A62" s="40"/>
      <c r="B62" s="107"/>
      <c r="C62" s="270" t="s">
        <v>158</v>
      </c>
      <c r="D62" s="271"/>
      <c r="E62" s="33">
        <f>'(5)F1 PAL'!H55</f>
        <v>0</v>
      </c>
      <c r="F62" s="8">
        <f t="shared" si="46"/>
        <v>0</v>
      </c>
      <c r="G62" s="8">
        <f t="shared" si="47"/>
        <v>0</v>
      </c>
      <c r="H62" s="8">
        <f t="shared" si="48"/>
        <v>0</v>
      </c>
      <c r="I62" s="8">
        <f t="shared" si="49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6"/>
        <v>0</v>
      </c>
      <c r="G63" s="9">
        <f t="shared" si="47"/>
        <v>0</v>
      </c>
      <c r="H63" s="9">
        <f t="shared" si="48"/>
        <v>0</v>
      </c>
      <c r="I63" s="9">
        <f t="shared" si="49"/>
        <v>0</v>
      </c>
    </row>
    <row r="64" spans="1:10" x14ac:dyDescent="0.25">
      <c r="A64" s="46"/>
      <c r="B64" s="28"/>
      <c r="C64" s="272" t="s">
        <v>682</v>
      </c>
      <c r="D64" s="273"/>
      <c r="E64" s="33">
        <f>'(5)F1 PAL'!H98</f>
        <v>0</v>
      </c>
      <c r="F64" s="8">
        <f t="shared" si="46"/>
        <v>0</v>
      </c>
      <c r="G64" s="8">
        <f t="shared" si="47"/>
        <v>0</v>
      </c>
      <c r="H64" s="8">
        <f t="shared" si="48"/>
        <v>0</v>
      </c>
      <c r="I64" s="8">
        <f t="shared" si="49"/>
        <v>0</v>
      </c>
    </row>
    <row r="65" spans="1:10" x14ac:dyDescent="0.25">
      <c r="A65" s="46"/>
      <c r="B65" s="28"/>
      <c r="C65" s="272" t="s">
        <v>683</v>
      </c>
      <c r="D65" s="273"/>
      <c r="E65" s="33">
        <f>'(5)F1 PAL'!H99</f>
        <v>0</v>
      </c>
      <c r="F65" s="8">
        <f t="shared" si="46"/>
        <v>0</v>
      </c>
      <c r="G65" s="8">
        <f t="shared" si="47"/>
        <v>0</v>
      </c>
      <c r="H65" s="8">
        <f t="shared" si="48"/>
        <v>0</v>
      </c>
      <c r="I65" s="8">
        <f t="shared" si="49"/>
        <v>0</v>
      </c>
    </row>
    <row r="66" spans="1:10" x14ac:dyDescent="0.25">
      <c r="A66" s="40"/>
      <c r="B66" s="107"/>
      <c r="C66" s="272" t="s">
        <v>684</v>
      </c>
      <c r="D66" s="273"/>
      <c r="E66" s="33">
        <f>'(5)F1 PAL'!H100</f>
        <v>0</v>
      </c>
      <c r="F66" s="8">
        <f t="shared" si="46"/>
        <v>0</v>
      </c>
      <c r="G66" s="8">
        <f t="shared" si="47"/>
        <v>0</v>
      </c>
      <c r="H66" s="8">
        <f t="shared" si="48"/>
        <v>0</v>
      </c>
      <c r="I66" s="8">
        <f t="shared" si="49"/>
        <v>0</v>
      </c>
    </row>
    <row r="67" spans="1:10" x14ac:dyDescent="0.25">
      <c r="A67" s="40"/>
      <c r="B67" s="107"/>
      <c r="C67" s="272" t="s">
        <v>685</v>
      </c>
      <c r="D67" s="273"/>
      <c r="E67" s="33">
        <f>'(5)F1 PAL'!H101</f>
        <v>0</v>
      </c>
      <c r="F67" s="8">
        <f t="shared" si="46"/>
        <v>0</v>
      </c>
      <c r="G67" s="8">
        <f t="shared" si="47"/>
        <v>0</v>
      </c>
      <c r="H67" s="8">
        <f t="shared" si="48"/>
        <v>0</v>
      </c>
      <c r="I67" s="8">
        <f t="shared" si="49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6"/>
        <v>0</v>
      </c>
      <c r="G68" s="9">
        <f t="shared" si="47"/>
        <v>0</v>
      </c>
      <c r="H68" s="9">
        <f t="shared" si="48"/>
        <v>0</v>
      </c>
      <c r="I68" s="9">
        <f t="shared" si="49"/>
        <v>0</v>
      </c>
    </row>
    <row r="69" spans="1:10" ht="10.95" customHeight="1" x14ac:dyDescent="0.25">
      <c r="A69" s="46"/>
      <c r="B69" s="28"/>
      <c r="C69" s="268" t="s">
        <v>682</v>
      </c>
      <c r="D69" s="269"/>
      <c r="E69" s="33">
        <f>'(5)F1 PAL'!H111</f>
        <v>0</v>
      </c>
      <c r="F69" s="8">
        <f t="shared" si="46"/>
        <v>0</v>
      </c>
      <c r="G69" s="8">
        <f t="shared" si="47"/>
        <v>0</v>
      </c>
      <c r="H69" s="8">
        <f t="shared" si="48"/>
        <v>0</v>
      </c>
      <c r="I69" s="8">
        <f t="shared" si="49"/>
        <v>0</v>
      </c>
    </row>
    <row r="70" spans="1:10" ht="10.95" customHeight="1" x14ac:dyDescent="0.25">
      <c r="A70" s="46"/>
      <c r="B70" s="28"/>
      <c r="C70" s="268" t="s">
        <v>683</v>
      </c>
      <c r="D70" s="269"/>
      <c r="E70" s="33">
        <f>'(5)F1 PAL'!H112</f>
        <v>0</v>
      </c>
      <c r="F70" s="8">
        <f t="shared" si="46"/>
        <v>0</v>
      </c>
      <c r="G70" s="8">
        <f t="shared" si="47"/>
        <v>0</v>
      </c>
      <c r="H70" s="8">
        <f t="shared" si="48"/>
        <v>0</v>
      </c>
      <c r="I70" s="8">
        <f t="shared" si="49"/>
        <v>0</v>
      </c>
    </row>
    <row r="71" spans="1:10" x14ac:dyDescent="0.25">
      <c r="A71" s="53"/>
      <c r="B71" s="114"/>
      <c r="C71" s="268" t="s">
        <v>684</v>
      </c>
      <c r="D71" s="269"/>
      <c r="E71" s="33">
        <f>'(5)F1 PAL'!H113</f>
        <v>0</v>
      </c>
      <c r="F71" s="8">
        <f t="shared" si="46"/>
        <v>0</v>
      </c>
      <c r="G71" s="8">
        <f t="shared" si="47"/>
        <v>0</v>
      </c>
      <c r="H71" s="8">
        <f t="shared" si="48"/>
        <v>0</v>
      </c>
      <c r="I71" s="8">
        <f t="shared" si="49"/>
        <v>0</v>
      </c>
    </row>
    <row r="72" spans="1:10" x14ac:dyDescent="0.25">
      <c r="A72" s="53"/>
      <c r="B72" s="114"/>
      <c r="C72" s="268" t="s">
        <v>685</v>
      </c>
      <c r="D72" s="269"/>
      <c r="E72" s="33">
        <f>'(5)F1 PAL'!H114</f>
        <v>0</v>
      </c>
      <c r="F72" s="8">
        <f t="shared" si="46"/>
        <v>0</v>
      </c>
      <c r="G72" s="8">
        <f t="shared" si="47"/>
        <v>0</v>
      </c>
      <c r="H72" s="8">
        <f t="shared" si="48"/>
        <v>0</v>
      </c>
      <c r="I72" s="8">
        <f t="shared" si="49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5" si="50">ROUND(E73/$F$7,2)</f>
        <v>0</v>
      </c>
      <c r="G73" s="8">
        <f t="shared" ref="G73:G75" si="51">ROUND(E73*$K$3,2)</f>
        <v>0</v>
      </c>
      <c r="H73" s="8">
        <f t="shared" ref="H73:H75" si="52">E73+G73</f>
        <v>0</v>
      </c>
      <c r="I73" s="8">
        <f t="shared" ref="I73:I75" si="53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50"/>
        <v>0</v>
      </c>
      <c r="G74" s="8">
        <f t="shared" si="51"/>
        <v>0</v>
      </c>
      <c r="H74" s="8">
        <f t="shared" si="52"/>
        <v>0</v>
      </c>
      <c r="I74" s="8">
        <f t="shared" si="53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50"/>
        <v>0</v>
      </c>
      <c r="G75" s="8">
        <f t="shared" si="51"/>
        <v>0</v>
      </c>
      <c r="H75" s="8">
        <f t="shared" si="52"/>
        <v>0</v>
      </c>
      <c r="I75" s="8">
        <f t="shared" si="53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54">SUM(F79:F80)</f>
        <v>0</v>
      </c>
      <c r="G78" s="29">
        <f t="shared" si="54"/>
        <v>0</v>
      </c>
      <c r="H78" s="29">
        <f t="shared" si="54"/>
        <v>0</v>
      </c>
      <c r="I78" s="29">
        <f t="shared" si="54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55">ROUND(E79/$F$7,2)</f>
        <v>0</v>
      </c>
      <c r="G79" s="8">
        <f t="shared" ref="G79:G80" si="56">ROUND(E79*$K$3,2)</f>
        <v>0</v>
      </c>
      <c r="H79" s="8">
        <f t="shared" ref="H79:H80" si="57">E79+G79</f>
        <v>0</v>
      </c>
      <c r="I79" s="8">
        <f t="shared" ref="I79:I80" si="58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55"/>
        <v>0</v>
      </c>
      <c r="G80" s="8">
        <f t="shared" si="56"/>
        <v>0</v>
      </c>
      <c r="H80" s="8">
        <f t="shared" si="57"/>
        <v>0</v>
      </c>
      <c r="I80" s="8">
        <f t="shared" si="58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59">SUM(F82:F86)</f>
        <v>0</v>
      </c>
      <c r="G81" s="27">
        <f t="shared" si="59"/>
        <v>0</v>
      </c>
      <c r="H81" s="27">
        <f t="shared" si="59"/>
        <v>0</v>
      </c>
      <c r="I81" s="27">
        <f t="shared" si="59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60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61">ROUND(E83/$F$7,2)</f>
        <v>0</v>
      </c>
      <c r="G83" s="8">
        <v>0</v>
      </c>
      <c r="H83" s="8">
        <f t="shared" ref="H83:H88" si="62">E83+G83</f>
        <v>0</v>
      </c>
      <c r="I83" s="8">
        <f t="shared" ref="I83:I88" si="63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61"/>
        <v>0</v>
      </c>
      <c r="G84" s="8">
        <v>0</v>
      </c>
      <c r="H84" s="8">
        <f t="shared" si="62"/>
        <v>0</v>
      </c>
      <c r="I84" s="8">
        <f t="shared" si="63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61"/>
        <v>0</v>
      </c>
      <c r="G85" s="8">
        <v>0</v>
      </c>
      <c r="H85" s="8">
        <f t="shared" si="62"/>
        <v>0</v>
      </c>
      <c r="I85" s="8">
        <f t="shared" si="63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61"/>
        <v>0</v>
      </c>
      <c r="G86" s="8">
        <f>E86*0</f>
        <v>0</v>
      </c>
      <c r="H86" s="8">
        <f t="shared" si="62"/>
        <v>0</v>
      </c>
      <c r="I86" s="8">
        <f t="shared" si="63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61"/>
        <v>0</v>
      </c>
      <c r="G87" s="8">
        <f t="shared" ref="G87:G88" si="64">ROUND(E87*$K$3,2)</f>
        <v>0</v>
      </c>
      <c r="H87" s="8">
        <f t="shared" si="62"/>
        <v>0</v>
      </c>
      <c r="I87" s="8">
        <f t="shared" si="63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61"/>
        <v>0</v>
      </c>
      <c r="G88" s="8">
        <f t="shared" si="64"/>
        <v>0</v>
      </c>
      <c r="H88" s="8">
        <f t="shared" si="62"/>
        <v>0</v>
      </c>
      <c r="I88" s="8">
        <f t="shared" si="63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65">F78+F81+F87+F88</f>
        <v>0</v>
      </c>
      <c r="G89" s="31">
        <f t="shared" si="65"/>
        <v>0</v>
      </c>
      <c r="H89" s="31">
        <f t="shared" si="65"/>
        <v>0</v>
      </c>
      <c r="I89" s="31">
        <f t="shared" si="65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66">ROUND(E91/$F$7,2)</f>
        <v>0</v>
      </c>
      <c r="G91" s="8">
        <f t="shared" ref="G91" si="67">ROUND(E91*$K$3,2)</f>
        <v>0</v>
      </c>
      <c r="H91" s="8">
        <f t="shared" ref="H91:H92" si="68">E91+G91</f>
        <v>0</v>
      </c>
      <c r="I91" s="8">
        <f t="shared" ref="I91:I92" si="69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66"/>
        <v>0</v>
      </c>
      <c r="G92" s="8">
        <v>0</v>
      </c>
      <c r="H92" s="8">
        <f t="shared" si="68"/>
        <v>0</v>
      </c>
      <c r="I92" s="8">
        <f t="shared" si="69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70">SUM(F91:F92)</f>
        <v>0</v>
      </c>
      <c r="G93" s="30">
        <f t="shared" si="70"/>
        <v>0</v>
      </c>
      <c r="H93" s="30">
        <f t="shared" si="70"/>
        <v>0</v>
      </c>
      <c r="I93" s="30">
        <f t="shared" si="70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71">E95/4.9</f>
        <v>0</v>
      </c>
      <c r="G95" s="21">
        <f t="shared" ref="G95:G96" si="72">E95*0.19</f>
        <v>0</v>
      </c>
      <c r="H95" s="21">
        <f t="shared" ref="H95:H96" si="73">E95+G95</f>
        <v>0</v>
      </c>
      <c r="I95" s="21">
        <f t="shared" ref="I95:I96" si="74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71"/>
        <v>0</v>
      </c>
      <c r="G96" s="21">
        <f t="shared" si="72"/>
        <v>0</v>
      </c>
      <c r="H96" s="21">
        <f t="shared" si="73"/>
        <v>0</v>
      </c>
      <c r="I96" s="21">
        <f t="shared" si="74"/>
        <v>0</v>
      </c>
      <c r="M96" s="1" t="s">
        <v>156</v>
      </c>
      <c r="N96" s="54">
        <f>SUM(N93:N95)</f>
        <v>0</v>
      </c>
      <c r="O96" s="127">
        <f>N96-'(5)F1 PAL'!C130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92:D92"/>
    <mergeCell ref="C85:D85"/>
    <mergeCell ref="C86:D86"/>
    <mergeCell ref="C88:D88"/>
    <mergeCell ref="C89:D89"/>
    <mergeCell ref="C91:D91"/>
    <mergeCell ref="C74:D74"/>
    <mergeCell ref="C75:D75"/>
    <mergeCell ref="C58:D58"/>
    <mergeCell ref="C59:D59"/>
    <mergeCell ref="C60:D60"/>
    <mergeCell ref="C61:D61"/>
    <mergeCell ref="C73:D73"/>
    <mergeCell ref="B50:D50"/>
    <mergeCell ref="B51:D51"/>
    <mergeCell ref="B52:D52"/>
    <mergeCell ref="B53:D53"/>
    <mergeCell ref="B54:D54"/>
    <mergeCell ref="C72:D72"/>
    <mergeCell ref="B42:D42"/>
    <mergeCell ref="C47:D47"/>
    <mergeCell ref="C48:D48"/>
    <mergeCell ref="C57:D57"/>
    <mergeCell ref="C63:D63"/>
    <mergeCell ref="B37:D37"/>
    <mergeCell ref="B38:D38"/>
    <mergeCell ref="B39:D39"/>
    <mergeCell ref="B40:D40"/>
    <mergeCell ref="B41:D41"/>
    <mergeCell ref="C32:D32"/>
    <mergeCell ref="C33:D33"/>
    <mergeCell ref="C34:D34"/>
    <mergeCell ref="C35:D35"/>
    <mergeCell ref="C36:D36"/>
    <mergeCell ref="C18:D18"/>
    <mergeCell ref="C21:D21"/>
    <mergeCell ref="C23:D23"/>
    <mergeCell ref="C19:D19"/>
    <mergeCell ref="C20:D20"/>
    <mergeCell ref="B13:D13"/>
    <mergeCell ref="C14:D14"/>
    <mergeCell ref="B15:D15"/>
    <mergeCell ref="C16:D16"/>
    <mergeCell ref="C17:D17"/>
    <mergeCell ref="A8:C8"/>
    <mergeCell ref="H8:I8"/>
    <mergeCell ref="B9:D12"/>
    <mergeCell ref="E9:F11"/>
    <mergeCell ref="G9:G11"/>
    <mergeCell ref="H9:I10"/>
    <mergeCell ref="H11:I11"/>
    <mergeCell ref="C7:D7"/>
    <mergeCell ref="F1:G1"/>
    <mergeCell ref="A2:C2"/>
    <mergeCell ref="A3:I3"/>
    <mergeCell ref="A4:I4"/>
    <mergeCell ref="A5:I5"/>
    <mergeCell ref="A6:I6"/>
    <mergeCell ref="A96:D96"/>
    <mergeCell ref="C62:D62"/>
    <mergeCell ref="C64:D64"/>
    <mergeCell ref="C65:D65"/>
    <mergeCell ref="C66:D66"/>
    <mergeCell ref="C67:D67"/>
    <mergeCell ref="C84:D84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C69:D69"/>
    <mergeCell ref="C70:D70"/>
    <mergeCell ref="C71:D71"/>
    <mergeCell ref="C25:D25"/>
    <mergeCell ref="B26:D26"/>
    <mergeCell ref="C27:D27"/>
    <mergeCell ref="C28:D28"/>
    <mergeCell ref="B29:D29"/>
    <mergeCell ref="C30:D30"/>
    <mergeCell ref="C55:D55"/>
    <mergeCell ref="B44:D44"/>
    <mergeCell ref="B45:D45"/>
    <mergeCell ref="B46:D46"/>
    <mergeCell ref="B49:D49"/>
    <mergeCell ref="C31:D31"/>
    <mergeCell ref="B43:D43"/>
  </mergeCells>
  <pageMargins left="0.78740157480314965" right="0.59055118110236227" top="0.59055118110236227" bottom="0.78740157480314965" header="0" footer="0"/>
  <pageSetup paperSize="9" scale="72" orientation="portrait" r:id="rId1"/>
  <rowBreaks count="1" manualBreakCount="1">
    <brk id="100" max="8" man="1"/>
  </rowBreaks>
  <ignoredErrors>
    <ignoredError sqref="F22:I22 F37:I3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B8E1-6DE4-4A1C-B96B-B1C186E84BC0}">
  <dimension ref="A1:O100"/>
  <sheetViews>
    <sheetView view="pageBreakPreview" topLeftCell="B1" zoomScale="160" zoomScaleNormal="100" zoomScaleSheetLayoutView="160" workbookViewId="0">
      <selection activeCell="H50" sqref="H50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2.1992187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4" style="1" customWidth="1"/>
    <col min="13" max="13" width="12.3984375" style="1" customWidth="1"/>
    <col min="14" max="14" width="10.59765625" style="1" customWidth="1"/>
    <col min="15" max="15" width="11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DG!D81</f>
        <v>Statia 110/20 kV P.N. Gara, jud. NT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SUM(E18:E21)</f>
        <v>0</v>
      </c>
      <c r="F17" s="9">
        <f t="shared" ref="F17:F24" si="2">ROUND(E17/$F$7,2)</f>
        <v>0</v>
      </c>
      <c r="G17" s="9">
        <f t="shared" ref="G17:G24" si="3">ROUND(E17*$K$3,2)</f>
        <v>0</v>
      </c>
      <c r="H17" s="9">
        <f t="shared" ref="H17:H24" si="4">E17+G17</f>
        <v>0</v>
      </c>
      <c r="I17" s="9">
        <f t="shared" ref="I17:I24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'(6)F1 PNG'!H17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'(6)F1 PNG'!H18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'(6)F1 PNG'!H19</f>
        <v>0</v>
      </c>
      <c r="F20" s="8">
        <f t="shared" ref="F20:F21" si="6">ROUND(E20/$F$7,2)</f>
        <v>0</v>
      </c>
      <c r="G20" s="8">
        <f t="shared" ref="G20:G21" si="7">ROUND(E20*$K$3,2)</f>
        <v>0</v>
      </c>
      <c r="H20" s="8">
        <f t="shared" ref="H20:H21" si="8">E20+G20</f>
        <v>0</v>
      </c>
      <c r="I20" s="8">
        <f t="shared" ref="I20:I21" si="9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'(6)F1 PNG'!H20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'(6)F1 PNG'!C39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'(4)F1 IMR'!B42</f>
        <v xml:space="preserve">              Lucrari protectia mediului</v>
      </c>
      <c r="D23" s="273"/>
      <c r="E23" s="8">
        <f>'(6)F1 PNG'!C39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si="2"/>
        <v>0</v>
      </c>
      <c r="G24" s="8">
        <f t="shared" si="3"/>
        <v>0</v>
      </c>
      <c r="H24" s="8">
        <f t="shared" si="4"/>
        <v>0</v>
      </c>
      <c r="I24" s="8">
        <f t="shared" si="5"/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E16++E17+E22+E24</f>
        <v>0</v>
      </c>
      <c r="F25" s="26">
        <f t="shared" ref="F25:I25" si="11">F16++F17+F22+F24</f>
        <v>0</v>
      </c>
      <c r="G25" s="26">
        <f t="shared" si="11"/>
        <v>0</v>
      </c>
      <c r="H25" s="26">
        <f t="shared" si="11"/>
        <v>0</v>
      </c>
      <c r="I25" s="26">
        <f t="shared" si="11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2">ROUND(E27/$F$7,2)</f>
        <v>0</v>
      </c>
      <c r="G27" s="8">
        <f t="shared" ref="G27" si="13">ROUND(E27*$K$3,2)</f>
        <v>0</v>
      </c>
      <c r="H27" s="8">
        <f t="shared" ref="H27" si="14">E27+G27</f>
        <v>0</v>
      </c>
      <c r="I27" s="8">
        <f t="shared" ref="I27" si="15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16">F27</f>
        <v>0</v>
      </c>
      <c r="G28" s="26">
        <f t="shared" si="16"/>
        <v>0</v>
      </c>
      <c r="H28" s="26">
        <f t="shared" si="16"/>
        <v>0</v>
      </c>
      <c r="I28" s="26">
        <f t="shared" si="16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17">SUM(F31:F33)</f>
        <v>0</v>
      </c>
      <c r="G30" s="27">
        <f t="shared" si="17"/>
        <v>0</v>
      </c>
      <c r="H30" s="27">
        <f t="shared" si="17"/>
        <v>0</v>
      </c>
      <c r="I30" s="27">
        <f t="shared" si="17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18">ROUND(E31/$F$7,2)</f>
        <v>0</v>
      </c>
      <c r="G31" s="8">
        <f t="shared" ref="G31:G36" si="19">ROUND(E31*$K$3,2)</f>
        <v>0</v>
      </c>
      <c r="H31" s="8">
        <f t="shared" ref="H31:H36" si="20">E31+G31</f>
        <v>0</v>
      </c>
      <c r="I31" s="8">
        <f t="shared" ref="I31:I36" si="21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18"/>
        <v>0</v>
      </c>
      <c r="G32" s="8">
        <f t="shared" si="19"/>
        <v>0</v>
      </c>
      <c r="H32" s="8">
        <f t="shared" si="20"/>
        <v>0</v>
      </c>
      <c r="I32" s="8">
        <f t="shared" si="21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18"/>
        <v>0</v>
      </c>
      <c r="G33" s="8">
        <f t="shared" si="19"/>
        <v>0</v>
      </c>
      <c r="H33" s="8">
        <f t="shared" si="20"/>
        <v>0</v>
      </c>
      <c r="I33" s="8">
        <f t="shared" si="21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18"/>
        <v>0</v>
      </c>
      <c r="G34" s="8">
        <f t="shared" si="19"/>
        <v>0</v>
      </c>
      <c r="H34" s="8">
        <f t="shared" si="20"/>
        <v>0</v>
      </c>
      <c r="I34" s="8">
        <f t="shared" si="21"/>
        <v>0</v>
      </c>
      <c r="J34" s="7">
        <v>1</v>
      </c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18"/>
        <v>0</v>
      </c>
      <c r="G35" s="8">
        <f t="shared" si="19"/>
        <v>0</v>
      </c>
      <c r="H35" s="8">
        <f t="shared" si="20"/>
        <v>0</v>
      </c>
      <c r="I35" s="8">
        <f t="shared" si="21"/>
        <v>0</v>
      </c>
      <c r="J35" s="7">
        <v>0</v>
      </c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18"/>
        <v>0</v>
      </c>
      <c r="G36" s="8">
        <f t="shared" si="19"/>
        <v>0</v>
      </c>
      <c r="H36" s="8">
        <f t="shared" si="20"/>
        <v>0</v>
      </c>
      <c r="I36" s="8">
        <f t="shared" si="21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2">SUM(F38:F43)</f>
        <v>0</v>
      </c>
      <c r="G37" s="36">
        <f t="shared" si="22"/>
        <v>0</v>
      </c>
      <c r="H37" s="36">
        <f t="shared" si="22"/>
        <v>0</v>
      </c>
      <c r="I37" s="36">
        <f t="shared" si="22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3">ROUND(E38/$F$7,2)</f>
        <v>0</v>
      </c>
      <c r="G38" s="8">
        <f t="shared" ref="G38:G43" si="24">ROUND(E38*$K$3,2)</f>
        <v>0</v>
      </c>
      <c r="H38" s="8">
        <f t="shared" ref="H38:H44" si="25">E38+G38</f>
        <v>0</v>
      </c>
      <c r="I38" s="8">
        <f t="shared" ref="I38:I44" si="26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3"/>
        <v>0</v>
      </c>
      <c r="G39" s="8">
        <f t="shared" si="24"/>
        <v>0</v>
      </c>
      <c r="H39" s="8">
        <f t="shared" si="25"/>
        <v>0</v>
      </c>
      <c r="I39" s="8">
        <f t="shared" si="26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3"/>
        <v>0</v>
      </c>
      <c r="G40" s="8">
        <f t="shared" si="24"/>
        <v>0</v>
      </c>
      <c r="H40" s="8">
        <f t="shared" si="25"/>
        <v>0</v>
      </c>
      <c r="I40" s="8">
        <f t="shared" si="26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3"/>
        <v>0</v>
      </c>
      <c r="G41" s="8">
        <f t="shared" si="24"/>
        <v>0</v>
      </c>
      <c r="H41" s="8">
        <f t="shared" si="25"/>
        <v>0</v>
      </c>
      <c r="I41" s="8">
        <f t="shared" si="26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3"/>
        <v>0</v>
      </c>
      <c r="G42" s="8">
        <f t="shared" si="24"/>
        <v>0</v>
      </c>
      <c r="H42" s="8">
        <f t="shared" si="25"/>
        <v>0</v>
      </c>
      <c r="I42" s="8">
        <f t="shared" si="26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3"/>
        <v>0</v>
      </c>
      <c r="G43" s="8">
        <f t="shared" si="24"/>
        <v>0</v>
      </c>
      <c r="H43" s="8">
        <f t="shared" si="25"/>
        <v>0</v>
      </c>
      <c r="I43" s="8">
        <f t="shared" si="26"/>
        <v>0</v>
      </c>
      <c r="J43" s="7">
        <v>4</v>
      </c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3"/>
        <v>0</v>
      </c>
      <c r="G44" s="8">
        <v>0</v>
      </c>
      <c r="H44" s="8">
        <f t="shared" si="25"/>
        <v>0</v>
      </c>
      <c r="I44" s="8">
        <f t="shared" si="26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27">F47+F48</f>
        <v>0</v>
      </c>
      <c r="G46" s="33">
        <f t="shared" si="27"/>
        <v>0</v>
      </c>
      <c r="H46" s="33">
        <f t="shared" si="27"/>
        <v>0</v>
      </c>
      <c r="I46" s="33">
        <f t="shared" si="27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9" si="28">ROUND(E47/$F$7,2)</f>
        <v>0</v>
      </c>
      <c r="G47" s="8">
        <v>0</v>
      </c>
      <c r="H47" s="8">
        <f t="shared" ref="H47:H49" si="29">E47+G47</f>
        <v>0</v>
      </c>
      <c r="I47" s="8">
        <f t="shared" ref="I47:I49" si="30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28"/>
        <v>0</v>
      </c>
      <c r="G48" s="8">
        <f t="shared" ref="G48:G49" si="31">ROUND(E48*$K$3,2)</f>
        <v>0</v>
      </c>
      <c r="H48" s="8">
        <f t="shared" si="29"/>
        <v>0</v>
      </c>
      <c r="I48" s="8">
        <f t="shared" si="30"/>
        <v>0</v>
      </c>
      <c r="J48" s="61"/>
    </row>
    <row r="49" spans="1:14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si="28"/>
        <v>0</v>
      </c>
      <c r="G49" s="8">
        <f t="shared" si="31"/>
        <v>0</v>
      </c>
      <c r="H49" s="8">
        <f t="shared" si="29"/>
        <v>0</v>
      </c>
      <c r="I49" s="8">
        <f t="shared" si="30"/>
        <v>0</v>
      </c>
      <c r="J49" s="7"/>
    </row>
    <row r="50" spans="1:14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32">F51+F54</f>
        <v>0</v>
      </c>
      <c r="G50" s="36">
        <f t="shared" si="32"/>
        <v>0</v>
      </c>
      <c r="H50" s="36">
        <f t="shared" si="32"/>
        <v>0</v>
      </c>
      <c r="I50" s="36">
        <f t="shared" si="32"/>
        <v>0</v>
      </c>
      <c r="J50" s="7"/>
    </row>
    <row r="51" spans="1:14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33">F53+F52</f>
        <v>0</v>
      </c>
      <c r="G51" s="36">
        <f t="shared" si="33"/>
        <v>0</v>
      </c>
      <c r="H51" s="36">
        <f t="shared" si="33"/>
        <v>0</v>
      </c>
      <c r="I51" s="36">
        <f t="shared" si="33"/>
        <v>0</v>
      </c>
      <c r="J51" s="7"/>
    </row>
    <row r="52" spans="1:14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34">ROUND(E52/$F$7,2)</f>
        <v>0</v>
      </c>
      <c r="G52" s="8">
        <f t="shared" ref="G52:G53" si="35">ROUND(E52*$K$3,2)</f>
        <v>0</v>
      </c>
      <c r="H52" s="8">
        <f t="shared" ref="H52:H54" si="36">E52+G52</f>
        <v>0</v>
      </c>
      <c r="I52" s="8">
        <f t="shared" ref="I52:I54" si="37">ROUND(G52/$F$7,2)+F52</f>
        <v>0</v>
      </c>
      <c r="J52" s="7"/>
    </row>
    <row r="53" spans="1:14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34"/>
        <v>0</v>
      </c>
      <c r="G53" s="8">
        <f t="shared" si="35"/>
        <v>0</v>
      </c>
      <c r="H53" s="8">
        <f t="shared" si="36"/>
        <v>0</v>
      </c>
      <c r="I53" s="8">
        <f t="shared" si="37"/>
        <v>0</v>
      </c>
      <c r="J53" s="7"/>
    </row>
    <row r="54" spans="1:14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34"/>
        <v>0</v>
      </c>
      <c r="G54" s="8">
        <v>0</v>
      </c>
      <c r="H54" s="8">
        <f t="shared" si="36"/>
        <v>0</v>
      </c>
      <c r="I54" s="8">
        <f t="shared" si="37"/>
        <v>0</v>
      </c>
      <c r="J54" s="7"/>
    </row>
    <row r="55" spans="1:14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4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  <c r="M56" s="182"/>
      <c r="N56" s="182"/>
    </row>
    <row r="57" spans="1:14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>ROUND(E57/$F$7,2)</f>
        <v>0</v>
      </c>
      <c r="G57" s="9">
        <f t="shared" ref="G57:G75" si="38">ROUND(E57*$K$3,2)</f>
        <v>0</v>
      </c>
      <c r="H57" s="9">
        <f t="shared" ref="H57:H75" si="39">E57+G57</f>
        <v>0</v>
      </c>
      <c r="I57" s="9">
        <f t="shared" ref="I57:I75" si="40">ROUND(G57/$F$7,2)+F57</f>
        <v>0</v>
      </c>
    </row>
    <row r="58" spans="1:14" ht="12" customHeight="1" x14ac:dyDescent="0.25">
      <c r="A58" s="46"/>
      <c r="B58" s="28"/>
      <c r="C58" s="272" t="s">
        <v>682</v>
      </c>
      <c r="D58" s="273"/>
      <c r="E58" s="33">
        <f>'(6)F1 PNG'!H54</f>
        <v>0</v>
      </c>
      <c r="F58" s="8">
        <f t="shared" ref="F58:F75" si="41">ROUND(E58/$F$7,2)</f>
        <v>0</v>
      </c>
      <c r="G58" s="8">
        <f t="shared" si="38"/>
        <v>0</v>
      </c>
      <c r="H58" s="8">
        <f t="shared" si="39"/>
        <v>0</v>
      </c>
      <c r="I58" s="8">
        <f t="shared" si="40"/>
        <v>0</v>
      </c>
    </row>
    <row r="59" spans="1:14" ht="12" customHeight="1" x14ac:dyDescent="0.25">
      <c r="A59" s="46"/>
      <c r="B59" s="28"/>
      <c r="C59" s="272" t="s">
        <v>683</v>
      </c>
      <c r="D59" s="273"/>
      <c r="E59" s="33">
        <f>'(6)F1 PNG'!H55</f>
        <v>0</v>
      </c>
      <c r="F59" s="8">
        <f t="shared" si="41"/>
        <v>0</v>
      </c>
      <c r="G59" s="8">
        <f t="shared" si="38"/>
        <v>0</v>
      </c>
      <c r="H59" s="8">
        <f t="shared" si="39"/>
        <v>0</v>
      </c>
      <c r="I59" s="8">
        <f t="shared" si="40"/>
        <v>0</v>
      </c>
    </row>
    <row r="60" spans="1:14" ht="12" customHeight="1" x14ac:dyDescent="0.25">
      <c r="A60" s="46"/>
      <c r="B60" s="28"/>
      <c r="C60" s="272" t="s">
        <v>684</v>
      </c>
      <c r="D60" s="273"/>
      <c r="E60" s="33">
        <f>'(6)F1 PNG'!H56</f>
        <v>0</v>
      </c>
      <c r="F60" s="8">
        <f t="shared" si="41"/>
        <v>0</v>
      </c>
      <c r="G60" s="8">
        <f t="shared" si="38"/>
        <v>0</v>
      </c>
      <c r="H60" s="8">
        <f t="shared" si="39"/>
        <v>0</v>
      </c>
      <c r="I60" s="8">
        <f t="shared" si="40"/>
        <v>0</v>
      </c>
    </row>
    <row r="61" spans="1:14" ht="12" customHeight="1" x14ac:dyDescent="0.25">
      <c r="A61" s="46"/>
      <c r="B61" s="28"/>
      <c r="C61" s="272" t="s">
        <v>685</v>
      </c>
      <c r="D61" s="273"/>
      <c r="E61" s="33">
        <f>'(6)F1 PNG'!H57</f>
        <v>0</v>
      </c>
      <c r="F61" s="8">
        <f t="shared" si="41"/>
        <v>0</v>
      </c>
      <c r="G61" s="8">
        <f t="shared" si="38"/>
        <v>0</v>
      </c>
      <c r="H61" s="8">
        <f t="shared" si="39"/>
        <v>0</v>
      </c>
      <c r="I61" s="8">
        <f t="shared" si="40"/>
        <v>0</v>
      </c>
    </row>
    <row r="62" spans="1:14" x14ac:dyDescent="0.25">
      <c r="A62" s="40"/>
      <c r="B62" s="107"/>
      <c r="C62" s="270" t="s">
        <v>158</v>
      </c>
      <c r="D62" s="271"/>
      <c r="E62" s="33">
        <f>'(6)F1 PNG'!H58</f>
        <v>0</v>
      </c>
      <c r="F62" s="8">
        <f t="shared" si="41"/>
        <v>0</v>
      </c>
      <c r="G62" s="8">
        <f t="shared" si="38"/>
        <v>0</v>
      </c>
      <c r="H62" s="8">
        <f t="shared" si="39"/>
        <v>0</v>
      </c>
      <c r="I62" s="8">
        <f t="shared" si="40"/>
        <v>0</v>
      </c>
    </row>
    <row r="63" spans="1:14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1"/>
        <v>0</v>
      </c>
      <c r="G63" s="9">
        <f t="shared" si="38"/>
        <v>0</v>
      </c>
      <c r="H63" s="9">
        <f t="shared" si="39"/>
        <v>0</v>
      </c>
      <c r="I63" s="9">
        <f t="shared" si="40"/>
        <v>0</v>
      </c>
    </row>
    <row r="64" spans="1:14" x14ac:dyDescent="0.25">
      <c r="A64" s="46"/>
      <c r="B64" s="28"/>
      <c r="C64" s="272" t="s">
        <v>682</v>
      </c>
      <c r="D64" s="273"/>
      <c r="E64" s="33">
        <f>'(6)F1 PNG'!H103</f>
        <v>0</v>
      </c>
      <c r="F64" s="8">
        <f t="shared" si="41"/>
        <v>0</v>
      </c>
      <c r="G64" s="8">
        <f t="shared" si="38"/>
        <v>0</v>
      </c>
      <c r="H64" s="8">
        <f t="shared" si="39"/>
        <v>0</v>
      </c>
      <c r="I64" s="8">
        <f t="shared" si="40"/>
        <v>0</v>
      </c>
    </row>
    <row r="65" spans="1:10" x14ac:dyDescent="0.25">
      <c r="A65" s="46"/>
      <c r="B65" s="28"/>
      <c r="C65" s="272" t="s">
        <v>683</v>
      </c>
      <c r="D65" s="273"/>
      <c r="E65" s="33">
        <f>'(6)F1 PNG'!H104</f>
        <v>0</v>
      </c>
      <c r="F65" s="8">
        <f t="shared" si="41"/>
        <v>0</v>
      </c>
      <c r="G65" s="8">
        <f t="shared" si="38"/>
        <v>0</v>
      </c>
      <c r="H65" s="8">
        <f t="shared" si="39"/>
        <v>0</v>
      </c>
      <c r="I65" s="8">
        <f t="shared" si="40"/>
        <v>0</v>
      </c>
    </row>
    <row r="66" spans="1:10" x14ac:dyDescent="0.25">
      <c r="A66" s="40"/>
      <c r="B66" s="107"/>
      <c r="C66" s="272" t="s">
        <v>684</v>
      </c>
      <c r="D66" s="273"/>
      <c r="E66" s="33">
        <f>'(6)F1 PNG'!H105</f>
        <v>0</v>
      </c>
      <c r="F66" s="8">
        <f t="shared" si="41"/>
        <v>0</v>
      </c>
      <c r="G66" s="8">
        <f t="shared" si="38"/>
        <v>0</v>
      </c>
      <c r="H66" s="8">
        <f t="shared" si="39"/>
        <v>0</v>
      </c>
      <c r="I66" s="8">
        <f t="shared" si="40"/>
        <v>0</v>
      </c>
    </row>
    <row r="67" spans="1:10" x14ac:dyDescent="0.25">
      <c r="A67" s="40"/>
      <c r="B67" s="107"/>
      <c r="C67" s="272" t="s">
        <v>685</v>
      </c>
      <c r="D67" s="273"/>
      <c r="E67" s="33">
        <f>'(6)F1 PNG'!H106</f>
        <v>0</v>
      </c>
      <c r="F67" s="8">
        <f t="shared" si="41"/>
        <v>0</v>
      </c>
      <c r="G67" s="8">
        <f t="shared" si="38"/>
        <v>0</v>
      </c>
      <c r="H67" s="8">
        <f t="shared" si="39"/>
        <v>0</v>
      </c>
      <c r="I67" s="8">
        <f t="shared" si="40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1"/>
        <v>0</v>
      </c>
      <c r="G68" s="9">
        <f t="shared" si="38"/>
        <v>0</v>
      </c>
      <c r="H68" s="9">
        <f t="shared" si="39"/>
        <v>0</v>
      </c>
      <c r="I68" s="9">
        <f t="shared" si="40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'(6)F1 PNG'!H115</f>
        <v>0</v>
      </c>
      <c r="F69" s="8">
        <f t="shared" si="41"/>
        <v>0</v>
      </c>
      <c r="G69" s="8">
        <f t="shared" si="38"/>
        <v>0</v>
      </c>
      <c r="H69" s="8">
        <f t="shared" si="39"/>
        <v>0</v>
      </c>
      <c r="I69" s="8">
        <f t="shared" si="40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'(6)F1 PNG'!H116</f>
        <v>0</v>
      </c>
      <c r="F70" s="8">
        <f t="shared" si="41"/>
        <v>0</v>
      </c>
      <c r="G70" s="8">
        <f t="shared" si="38"/>
        <v>0</v>
      </c>
      <c r="H70" s="8">
        <f t="shared" si="39"/>
        <v>0</v>
      </c>
      <c r="I70" s="8">
        <f t="shared" si="40"/>
        <v>0</v>
      </c>
    </row>
    <row r="71" spans="1:10" x14ac:dyDescent="0.25">
      <c r="A71" s="53"/>
      <c r="B71" s="114"/>
      <c r="C71" s="272" t="s">
        <v>684</v>
      </c>
      <c r="D71" s="273"/>
      <c r="E71" s="33">
        <f>'(6)F1 PNG'!H117</f>
        <v>0</v>
      </c>
      <c r="F71" s="8">
        <f t="shared" si="41"/>
        <v>0</v>
      </c>
      <c r="G71" s="8">
        <f t="shared" si="38"/>
        <v>0</v>
      </c>
      <c r="H71" s="8">
        <f t="shared" si="39"/>
        <v>0</v>
      </c>
      <c r="I71" s="8">
        <f t="shared" si="40"/>
        <v>0</v>
      </c>
    </row>
    <row r="72" spans="1:10" x14ac:dyDescent="0.25">
      <c r="A72" s="53"/>
      <c r="B72" s="114"/>
      <c r="C72" s="272" t="s">
        <v>685</v>
      </c>
      <c r="D72" s="273"/>
      <c r="E72" s="33">
        <f>'(6)F1 PNG'!H118</f>
        <v>0</v>
      </c>
      <c r="F72" s="8">
        <f t="shared" si="41"/>
        <v>0</v>
      </c>
      <c r="G72" s="8">
        <f t="shared" si="38"/>
        <v>0</v>
      </c>
      <c r="H72" s="8">
        <f t="shared" si="39"/>
        <v>0</v>
      </c>
      <c r="I72" s="8">
        <f t="shared" si="40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si="41"/>
        <v>0</v>
      </c>
      <c r="G73" s="8">
        <f t="shared" si="38"/>
        <v>0</v>
      </c>
      <c r="H73" s="8">
        <f t="shared" si="39"/>
        <v>0</v>
      </c>
      <c r="I73" s="8">
        <f t="shared" si="40"/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41"/>
        <v>0</v>
      </c>
      <c r="G74" s="8">
        <f t="shared" si="38"/>
        <v>0</v>
      </c>
      <c r="H74" s="8">
        <f t="shared" si="39"/>
        <v>0</v>
      </c>
      <c r="I74" s="8">
        <f t="shared" si="40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si="41"/>
        <v>0</v>
      </c>
      <c r="G75" s="8">
        <f t="shared" si="38"/>
        <v>0</v>
      </c>
      <c r="H75" s="8">
        <f t="shared" si="39"/>
        <v>0</v>
      </c>
      <c r="I75" s="8">
        <f t="shared" si="40"/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42">SUM(F79:F80)</f>
        <v>0</v>
      </c>
      <c r="G78" s="29">
        <f t="shared" si="42"/>
        <v>0</v>
      </c>
      <c r="H78" s="29">
        <f t="shared" si="42"/>
        <v>0</v>
      </c>
      <c r="I78" s="29">
        <f t="shared" si="42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43">ROUND(E79/$F$7,2)</f>
        <v>0</v>
      </c>
      <c r="G79" s="8">
        <f t="shared" ref="G79:G80" si="44">ROUND(E79*$K$3,2)</f>
        <v>0</v>
      </c>
      <c r="H79" s="8">
        <f t="shared" ref="H79:H80" si="45">E79+G79</f>
        <v>0</v>
      </c>
      <c r="I79" s="8">
        <f t="shared" ref="I79:I80" si="46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43"/>
        <v>0</v>
      </c>
      <c r="G80" s="8">
        <f t="shared" si="44"/>
        <v>0</v>
      </c>
      <c r="H80" s="8">
        <f t="shared" si="45"/>
        <v>0</v>
      </c>
      <c r="I80" s="8">
        <f t="shared" si="46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47">SUM(F82:F86)</f>
        <v>0</v>
      </c>
      <c r="G81" s="27">
        <f t="shared" si="47"/>
        <v>0</v>
      </c>
      <c r="H81" s="27">
        <f t="shared" si="47"/>
        <v>0</v>
      </c>
      <c r="I81" s="27">
        <f t="shared" si="47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48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>E83/4.9</f>
        <v>0</v>
      </c>
      <c r="G83" s="8">
        <v>0</v>
      </c>
      <c r="H83" s="8">
        <f t="shared" ref="H83:H88" si="49">E83+G83</f>
        <v>0</v>
      </c>
      <c r="I83" s="8">
        <f t="shared" ref="I83:I88" si="50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ref="F84:F86" si="51">E84/4.9</f>
        <v>0</v>
      </c>
      <c r="G84" s="8">
        <v>0</v>
      </c>
      <c r="H84" s="8">
        <f t="shared" si="49"/>
        <v>0</v>
      </c>
      <c r="I84" s="8">
        <f t="shared" si="50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51"/>
        <v>0</v>
      </c>
      <c r="G85" s="8">
        <v>0</v>
      </c>
      <c r="H85" s="8">
        <f t="shared" si="49"/>
        <v>0</v>
      </c>
      <c r="I85" s="8">
        <f t="shared" si="50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51"/>
        <v>0</v>
      </c>
      <c r="G86" s="8">
        <f>E86*0</f>
        <v>0</v>
      </c>
      <c r="H86" s="8">
        <f t="shared" si="49"/>
        <v>0</v>
      </c>
      <c r="I86" s="8">
        <f t="shared" si="50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ref="F87:F88" si="52">ROUND(E87/$F$7,2)</f>
        <v>0</v>
      </c>
      <c r="G87" s="8">
        <f t="shared" ref="G87:G88" si="53">ROUND(E87*$K$3,2)</f>
        <v>0</v>
      </c>
      <c r="H87" s="8">
        <f t="shared" si="49"/>
        <v>0</v>
      </c>
      <c r="I87" s="8">
        <f t="shared" si="50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52"/>
        <v>0</v>
      </c>
      <c r="G88" s="8">
        <f t="shared" si="53"/>
        <v>0</v>
      </c>
      <c r="H88" s="8">
        <f t="shared" si="49"/>
        <v>0</v>
      </c>
      <c r="I88" s="8">
        <f t="shared" si="50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54">F78+F81+F87+F88</f>
        <v>0</v>
      </c>
      <c r="G89" s="31">
        <f t="shared" si="54"/>
        <v>0</v>
      </c>
      <c r="H89" s="31">
        <f t="shared" si="54"/>
        <v>0</v>
      </c>
      <c r="I89" s="31">
        <f t="shared" si="54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55">ROUND(E91/$F$7,2)</f>
        <v>0</v>
      </c>
      <c r="G91" s="8">
        <f t="shared" ref="G91" si="56">ROUND(E91*$K$3,2)</f>
        <v>0</v>
      </c>
      <c r="H91" s="8">
        <f t="shared" ref="H91:H92" si="57">E91+G91</f>
        <v>0</v>
      </c>
      <c r="I91" s="8">
        <f t="shared" ref="I91:I92" si="58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55"/>
        <v>0</v>
      </c>
      <c r="G92" s="8">
        <v>0</v>
      </c>
      <c r="H92" s="8">
        <f t="shared" si="57"/>
        <v>0</v>
      </c>
      <c r="I92" s="8">
        <f t="shared" si="58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59">SUM(F91:F92)</f>
        <v>0</v>
      </c>
      <c r="G93" s="30">
        <f t="shared" si="59"/>
        <v>0</v>
      </c>
      <c r="H93" s="30">
        <f t="shared" si="59"/>
        <v>0</v>
      </c>
      <c r="I93" s="30">
        <f t="shared" si="59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60">E95/4.9</f>
        <v>0</v>
      </c>
      <c r="G95" s="21">
        <f t="shared" ref="G95:G96" si="61">E95*0.19</f>
        <v>0</v>
      </c>
      <c r="H95" s="21">
        <f t="shared" ref="H95:H96" si="62">E95+G95</f>
        <v>0</v>
      </c>
      <c r="I95" s="21">
        <f t="shared" ref="I95:I96" si="63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60"/>
        <v>0</v>
      </c>
      <c r="G96" s="21">
        <f t="shared" si="61"/>
        <v>0</v>
      </c>
      <c r="H96" s="21">
        <f t="shared" si="62"/>
        <v>0</v>
      </c>
      <c r="I96" s="21">
        <f t="shared" si="63"/>
        <v>0</v>
      </c>
      <c r="M96" s="1" t="s">
        <v>156</v>
      </c>
      <c r="N96" s="54">
        <f>SUM(N93:N95)</f>
        <v>0</v>
      </c>
      <c r="O96" s="127">
        <f>N96-'(6)F1 PNG'!C132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A6:I6"/>
    <mergeCell ref="F1:G1"/>
    <mergeCell ref="A2:C2"/>
    <mergeCell ref="A3:I3"/>
    <mergeCell ref="A4:I4"/>
    <mergeCell ref="A5:I5"/>
    <mergeCell ref="C18:D18"/>
    <mergeCell ref="C7:D7"/>
    <mergeCell ref="A8:C8"/>
    <mergeCell ref="H8:I8"/>
    <mergeCell ref="B9:D12"/>
    <mergeCell ref="E9:F11"/>
    <mergeCell ref="G9:G11"/>
    <mergeCell ref="H9:I10"/>
    <mergeCell ref="H11:I11"/>
    <mergeCell ref="B13:D13"/>
    <mergeCell ref="C14:D14"/>
    <mergeCell ref="B15:D15"/>
    <mergeCell ref="C16:D16"/>
    <mergeCell ref="C17:D17"/>
    <mergeCell ref="C33:D33"/>
    <mergeCell ref="C19:D19"/>
    <mergeCell ref="C21:D21"/>
    <mergeCell ref="C23:D23"/>
    <mergeCell ref="C25:D25"/>
    <mergeCell ref="B26:D26"/>
    <mergeCell ref="C27:D27"/>
    <mergeCell ref="C28:D28"/>
    <mergeCell ref="B29:D29"/>
    <mergeCell ref="C30:D30"/>
    <mergeCell ref="C31:D31"/>
    <mergeCell ref="C32:D32"/>
    <mergeCell ref="C20:D20"/>
    <mergeCell ref="B45:D45"/>
    <mergeCell ref="C34:D34"/>
    <mergeCell ref="C35:D35"/>
    <mergeCell ref="C36:D36"/>
    <mergeCell ref="B37:D37"/>
    <mergeCell ref="B38:D38"/>
    <mergeCell ref="B39:D39"/>
    <mergeCell ref="B40:D40"/>
    <mergeCell ref="B41:D41"/>
    <mergeCell ref="B42:D42"/>
    <mergeCell ref="B43:D43"/>
    <mergeCell ref="B44:D44"/>
    <mergeCell ref="C58:D58"/>
    <mergeCell ref="B46:D46"/>
    <mergeCell ref="C47:D47"/>
    <mergeCell ref="C48:D48"/>
    <mergeCell ref="B49:D49"/>
    <mergeCell ref="B50:D50"/>
    <mergeCell ref="B51:D51"/>
    <mergeCell ref="B52:D52"/>
    <mergeCell ref="B53:D53"/>
    <mergeCell ref="B54:D54"/>
    <mergeCell ref="C55:D55"/>
    <mergeCell ref="C57:D57"/>
    <mergeCell ref="C70:D70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9:D69"/>
    <mergeCell ref="C84:D84"/>
    <mergeCell ref="C71:D71"/>
    <mergeCell ref="C72:D72"/>
    <mergeCell ref="C73:D73"/>
    <mergeCell ref="C74:D74"/>
    <mergeCell ref="C75:D75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A96:D96"/>
    <mergeCell ref="C85:D85"/>
    <mergeCell ref="C86:D86"/>
    <mergeCell ref="C88:D88"/>
    <mergeCell ref="C89:D89"/>
    <mergeCell ref="C91:D91"/>
    <mergeCell ref="C92:D92"/>
  </mergeCells>
  <pageMargins left="0.78740157480314965" right="0.59055118110236227" top="0.59055118110236227" bottom="0.78740157480314965" header="0" footer="0"/>
  <pageSetup paperSize="9" scale="72" orientation="portrait" r:id="rId1"/>
  <ignoredErrors>
    <ignoredError sqref="F22:I22 F37:I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4C82-B95E-41BB-BC0C-EE49A0507ECF}">
  <dimension ref="A1:O100"/>
  <sheetViews>
    <sheetView view="pageBreakPreview" topLeftCell="A76" zoomScale="170" zoomScaleNormal="100" zoomScaleSheetLayoutView="170" workbookViewId="0">
      <selection activeCell="G44" sqref="G44"/>
    </sheetView>
  </sheetViews>
  <sheetFormatPr defaultRowHeight="12" x14ac:dyDescent="0.25"/>
  <cols>
    <col min="1" max="1" width="3.3984375" style="49" customWidth="1"/>
    <col min="2" max="2" width="4.19921875" style="1" customWidth="1"/>
    <col min="3" max="3" width="10.69921875" style="1" customWidth="1"/>
    <col min="4" max="4" width="33.69921875" style="1" customWidth="1"/>
    <col min="5" max="5" width="10.59765625" style="1" customWidth="1"/>
    <col min="6" max="6" width="10.69921875" style="1" customWidth="1"/>
    <col min="7" max="7" width="10.5" style="1" customWidth="1"/>
    <col min="8" max="8" width="10.59765625" style="1" customWidth="1"/>
    <col min="9" max="9" width="10.5" style="1" customWidth="1"/>
    <col min="10" max="10" width="6.69921875" style="1" customWidth="1"/>
    <col min="11" max="11" width="4.59765625" style="1" customWidth="1"/>
    <col min="12" max="12" width="23.69921875" style="1" customWidth="1"/>
    <col min="13" max="13" width="14.69921875" style="1" customWidth="1"/>
    <col min="14" max="14" width="10.8984375" style="1" customWidth="1"/>
    <col min="15" max="15" width="11.5" style="1" customWidth="1"/>
    <col min="16" max="242" width="8.69921875" style="1"/>
    <col min="243" max="243" width="3.8984375" style="1" customWidth="1"/>
    <col min="244" max="244" width="4.09765625" style="1" customWidth="1"/>
    <col min="245" max="245" width="19.19921875" style="1" customWidth="1"/>
    <col min="246" max="246" width="25.09765625" style="1" customWidth="1"/>
    <col min="247" max="247" width="9.3984375" style="1" customWidth="1"/>
    <col min="248" max="248" width="9.8984375" style="1" bestFit="1" customWidth="1"/>
    <col min="249" max="249" width="9.09765625" style="1" customWidth="1"/>
    <col min="250" max="250" width="10.69921875" style="1" customWidth="1"/>
    <col min="251" max="251" width="9.5" style="1" customWidth="1"/>
    <col min="252" max="252" width="10.19921875" style="1" customWidth="1"/>
    <col min="253" max="253" width="9" style="1" customWidth="1"/>
    <col min="254" max="255" width="4.19921875" style="1" customWidth="1"/>
    <col min="256" max="256" width="8.59765625" style="1" customWidth="1"/>
    <col min="257" max="257" width="4.19921875" style="1" customWidth="1"/>
    <col min="258" max="258" width="11.59765625" style="1" customWidth="1"/>
    <col min="259" max="498" width="8.69921875" style="1"/>
    <col min="499" max="499" width="3.8984375" style="1" customWidth="1"/>
    <col min="500" max="500" width="4.09765625" style="1" customWidth="1"/>
    <col min="501" max="501" width="19.19921875" style="1" customWidth="1"/>
    <col min="502" max="502" width="25.09765625" style="1" customWidth="1"/>
    <col min="503" max="503" width="9.3984375" style="1" customWidth="1"/>
    <col min="504" max="504" width="9.8984375" style="1" bestFit="1" customWidth="1"/>
    <col min="505" max="505" width="9.09765625" style="1" customWidth="1"/>
    <col min="506" max="506" width="10.69921875" style="1" customWidth="1"/>
    <col min="507" max="507" width="9.5" style="1" customWidth="1"/>
    <col min="508" max="508" width="10.19921875" style="1" customWidth="1"/>
    <col min="509" max="509" width="9" style="1" customWidth="1"/>
    <col min="510" max="511" width="4.19921875" style="1" customWidth="1"/>
    <col min="512" max="512" width="8.59765625" style="1" customWidth="1"/>
    <col min="513" max="513" width="4.19921875" style="1" customWidth="1"/>
    <col min="514" max="514" width="11.59765625" style="1" customWidth="1"/>
    <col min="515" max="754" width="8.69921875" style="1"/>
    <col min="755" max="755" width="3.8984375" style="1" customWidth="1"/>
    <col min="756" max="756" width="4.09765625" style="1" customWidth="1"/>
    <col min="757" max="757" width="19.19921875" style="1" customWidth="1"/>
    <col min="758" max="758" width="25.09765625" style="1" customWidth="1"/>
    <col min="759" max="759" width="9.3984375" style="1" customWidth="1"/>
    <col min="760" max="760" width="9.8984375" style="1" bestFit="1" customWidth="1"/>
    <col min="761" max="761" width="9.09765625" style="1" customWidth="1"/>
    <col min="762" max="762" width="10.69921875" style="1" customWidth="1"/>
    <col min="763" max="763" width="9.5" style="1" customWidth="1"/>
    <col min="764" max="764" width="10.19921875" style="1" customWidth="1"/>
    <col min="765" max="765" width="9" style="1" customWidth="1"/>
    <col min="766" max="767" width="4.19921875" style="1" customWidth="1"/>
    <col min="768" max="768" width="8.59765625" style="1" customWidth="1"/>
    <col min="769" max="769" width="4.19921875" style="1" customWidth="1"/>
    <col min="770" max="770" width="11.59765625" style="1" customWidth="1"/>
    <col min="771" max="1010" width="8.69921875" style="1"/>
    <col min="1011" max="1011" width="3.8984375" style="1" customWidth="1"/>
    <col min="1012" max="1012" width="4.09765625" style="1" customWidth="1"/>
    <col min="1013" max="1013" width="19.19921875" style="1" customWidth="1"/>
    <col min="1014" max="1014" width="25.09765625" style="1" customWidth="1"/>
    <col min="1015" max="1015" width="9.3984375" style="1" customWidth="1"/>
    <col min="1016" max="1016" width="9.8984375" style="1" bestFit="1" customWidth="1"/>
    <col min="1017" max="1017" width="9.09765625" style="1" customWidth="1"/>
    <col min="1018" max="1018" width="10.69921875" style="1" customWidth="1"/>
    <col min="1019" max="1019" width="9.5" style="1" customWidth="1"/>
    <col min="1020" max="1020" width="10.19921875" style="1" customWidth="1"/>
    <col min="1021" max="1021" width="9" style="1" customWidth="1"/>
    <col min="1022" max="1023" width="4.19921875" style="1" customWidth="1"/>
    <col min="1024" max="1024" width="8.59765625" style="1" customWidth="1"/>
    <col min="1025" max="1025" width="4.19921875" style="1" customWidth="1"/>
    <col min="1026" max="1026" width="11.59765625" style="1" customWidth="1"/>
    <col min="1027" max="1266" width="8.69921875" style="1"/>
    <col min="1267" max="1267" width="3.8984375" style="1" customWidth="1"/>
    <col min="1268" max="1268" width="4.09765625" style="1" customWidth="1"/>
    <col min="1269" max="1269" width="19.19921875" style="1" customWidth="1"/>
    <col min="1270" max="1270" width="25.09765625" style="1" customWidth="1"/>
    <col min="1271" max="1271" width="9.3984375" style="1" customWidth="1"/>
    <col min="1272" max="1272" width="9.8984375" style="1" bestFit="1" customWidth="1"/>
    <col min="1273" max="1273" width="9.09765625" style="1" customWidth="1"/>
    <col min="1274" max="1274" width="10.69921875" style="1" customWidth="1"/>
    <col min="1275" max="1275" width="9.5" style="1" customWidth="1"/>
    <col min="1276" max="1276" width="10.19921875" style="1" customWidth="1"/>
    <col min="1277" max="1277" width="9" style="1" customWidth="1"/>
    <col min="1278" max="1279" width="4.19921875" style="1" customWidth="1"/>
    <col min="1280" max="1280" width="8.59765625" style="1" customWidth="1"/>
    <col min="1281" max="1281" width="4.19921875" style="1" customWidth="1"/>
    <col min="1282" max="1282" width="11.59765625" style="1" customWidth="1"/>
    <col min="1283" max="1522" width="8.69921875" style="1"/>
    <col min="1523" max="1523" width="3.8984375" style="1" customWidth="1"/>
    <col min="1524" max="1524" width="4.09765625" style="1" customWidth="1"/>
    <col min="1525" max="1525" width="19.19921875" style="1" customWidth="1"/>
    <col min="1526" max="1526" width="25.09765625" style="1" customWidth="1"/>
    <col min="1527" max="1527" width="9.3984375" style="1" customWidth="1"/>
    <col min="1528" max="1528" width="9.8984375" style="1" bestFit="1" customWidth="1"/>
    <col min="1529" max="1529" width="9.09765625" style="1" customWidth="1"/>
    <col min="1530" max="1530" width="10.69921875" style="1" customWidth="1"/>
    <col min="1531" max="1531" width="9.5" style="1" customWidth="1"/>
    <col min="1532" max="1532" width="10.19921875" style="1" customWidth="1"/>
    <col min="1533" max="1533" width="9" style="1" customWidth="1"/>
    <col min="1534" max="1535" width="4.19921875" style="1" customWidth="1"/>
    <col min="1536" max="1536" width="8.59765625" style="1" customWidth="1"/>
    <col min="1537" max="1537" width="4.19921875" style="1" customWidth="1"/>
    <col min="1538" max="1538" width="11.59765625" style="1" customWidth="1"/>
    <col min="1539" max="1778" width="8.69921875" style="1"/>
    <col min="1779" max="1779" width="3.8984375" style="1" customWidth="1"/>
    <col min="1780" max="1780" width="4.09765625" style="1" customWidth="1"/>
    <col min="1781" max="1781" width="19.19921875" style="1" customWidth="1"/>
    <col min="1782" max="1782" width="25.09765625" style="1" customWidth="1"/>
    <col min="1783" max="1783" width="9.3984375" style="1" customWidth="1"/>
    <col min="1784" max="1784" width="9.8984375" style="1" bestFit="1" customWidth="1"/>
    <col min="1785" max="1785" width="9.09765625" style="1" customWidth="1"/>
    <col min="1786" max="1786" width="10.69921875" style="1" customWidth="1"/>
    <col min="1787" max="1787" width="9.5" style="1" customWidth="1"/>
    <col min="1788" max="1788" width="10.19921875" style="1" customWidth="1"/>
    <col min="1789" max="1789" width="9" style="1" customWidth="1"/>
    <col min="1790" max="1791" width="4.19921875" style="1" customWidth="1"/>
    <col min="1792" max="1792" width="8.59765625" style="1" customWidth="1"/>
    <col min="1793" max="1793" width="4.19921875" style="1" customWidth="1"/>
    <col min="1794" max="1794" width="11.59765625" style="1" customWidth="1"/>
    <col min="1795" max="2034" width="8.69921875" style="1"/>
    <col min="2035" max="2035" width="3.8984375" style="1" customWidth="1"/>
    <col min="2036" max="2036" width="4.09765625" style="1" customWidth="1"/>
    <col min="2037" max="2037" width="19.19921875" style="1" customWidth="1"/>
    <col min="2038" max="2038" width="25.09765625" style="1" customWidth="1"/>
    <col min="2039" max="2039" width="9.3984375" style="1" customWidth="1"/>
    <col min="2040" max="2040" width="9.8984375" style="1" bestFit="1" customWidth="1"/>
    <col min="2041" max="2041" width="9.09765625" style="1" customWidth="1"/>
    <col min="2042" max="2042" width="10.69921875" style="1" customWidth="1"/>
    <col min="2043" max="2043" width="9.5" style="1" customWidth="1"/>
    <col min="2044" max="2044" width="10.19921875" style="1" customWidth="1"/>
    <col min="2045" max="2045" width="9" style="1" customWidth="1"/>
    <col min="2046" max="2047" width="4.19921875" style="1" customWidth="1"/>
    <col min="2048" max="2048" width="8.59765625" style="1" customWidth="1"/>
    <col min="2049" max="2049" width="4.19921875" style="1" customWidth="1"/>
    <col min="2050" max="2050" width="11.59765625" style="1" customWidth="1"/>
    <col min="2051" max="2290" width="8.69921875" style="1"/>
    <col min="2291" max="2291" width="3.8984375" style="1" customWidth="1"/>
    <col min="2292" max="2292" width="4.09765625" style="1" customWidth="1"/>
    <col min="2293" max="2293" width="19.19921875" style="1" customWidth="1"/>
    <col min="2294" max="2294" width="25.09765625" style="1" customWidth="1"/>
    <col min="2295" max="2295" width="9.3984375" style="1" customWidth="1"/>
    <col min="2296" max="2296" width="9.8984375" style="1" bestFit="1" customWidth="1"/>
    <col min="2297" max="2297" width="9.09765625" style="1" customWidth="1"/>
    <col min="2298" max="2298" width="10.69921875" style="1" customWidth="1"/>
    <col min="2299" max="2299" width="9.5" style="1" customWidth="1"/>
    <col min="2300" max="2300" width="10.19921875" style="1" customWidth="1"/>
    <col min="2301" max="2301" width="9" style="1" customWidth="1"/>
    <col min="2302" max="2303" width="4.19921875" style="1" customWidth="1"/>
    <col min="2304" max="2304" width="8.59765625" style="1" customWidth="1"/>
    <col min="2305" max="2305" width="4.19921875" style="1" customWidth="1"/>
    <col min="2306" max="2306" width="11.59765625" style="1" customWidth="1"/>
    <col min="2307" max="2546" width="8.69921875" style="1"/>
    <col min="2547" max="2547" width="3.8984375" style="1" customWidth="1"/>
    <col min="2548" max="2548" width="4.09765625" style="1" customWidth="1"/>
    <col min="2549" max="2549" width="19.19921875" style="1" customWidth="1"/>
    <col min="2550" max="2550" width="25.09765625" style="1" customWidth="1"/>
    <col min="2551" max="2551" width="9.3984375" style="1" customWidth="1"/>
    <col min="2552" max="2552" width="9.8984375" style="1" bestFit="1" customWidth="1"/>
    <col min="2553" max="2553" width="9.09765625" style="1" customWidth="1"/>
    <col min="2554" max="2554" width="10.69921875" style="1" customWidth="1"/>
    <col min="2555" max="2555" width="9.5" style="1" customWidth="1"/>
    <col min="2556" max="2556" width="10.19921875" style="1" customWidth="1"/>
    <col min="2557" max="2557" width="9" style="1" customWidth="1"/>
    <col min="2558" max="2559" width="4.19921875" style="1" customWidth="1"/>
    <col min="2560" max="2560" width="8.59765625" style="1" customWidth="1"/>
    <col min="2561" max="2561" width="4.19921875" style="1" customWidth="1"/>
    <col min="2562" max="2562" width="11.59765625" style="1" customWidth="1"/>
    <col min="2563" max="2802" width="8.69921875" style="1"/>
    <col min="2803" max="2803" width="3.8984375" style="1" customWidth="1"/>
    <col min="2804" max="2804" width="4.09765625" style="1" customWidth="1"/>
    <col min="2805" max="2805" width="19.19921875" style="1" customWidth="1"/>
    <col min="2806" max="2806" width="25.09765625" style="1" customWidth="1"/>
    <col min="2807" max="2807" width="9.3984375" style="1" customWidth="1"/>
    <col min="2808" max="2808" width="9.8984375" style="1" bestFit="1" customWidth="1"/>
    <col min="2809" max="2809" width="9.09765625" style="1" customWidth="1"/>
    <col min="2810" max="2810" width="10.69921875" style="1" customWidth="1"/>
    <col min="2811" max="2811" width="9.5" style="1" customWidth="1"/>
    <col min="2812" max="2812" width="10.19921875" style="1" customWidth="1"/>
    <col min="2813" max="2813" width="9" style="1" customWidth="1"/>
    <col min="2814" max="2815" width="4.19921875" style="1" customWidth="1"/>
    <col min="2816" max="2816" width="8.59765625" style="1" customWidth="1"/>
    <col min="2817" max="2817" width="4.19921875" style="1" customWidth="1"/>
    <col min="2818" max="2818" width="11.59765625" style="1" customWidth="1"/>
    <col min="2819" max="3058" width="8.69921875" style="1"/>
    <col min="3059" max="3059" width="3.8984375" style="1" customWidth="1"/>
    <col min="3060" max="3060" width="4.09765625" style="1" customWidth="1"/>
    <col min="3061" max="3061" width="19.19921875" style="1" customWidth="1"/>
    <col min="3062" max="3062" width="25.09765625" style="1" customWidth="1"/>
    <col min="3063" max="3063" width="9.3984375" style="1" customWidth="1"/>
    <col min="3064" max="3064" width="9.8984375" style="1" bestFit="1" customWidth="1"/>
    <col min="3065" max="3065" width="9.09765625" style="1" customWidth="1"/>
    <col min="3066" max="3066" width="10.69921875" style="1" customWidth="1"/>
    <col min="3067" max="3067" width="9.5" style="1" customWidth="1"/>
    <col min="3068" max="3068" width="10.19921875" style="1" customWidth="1"/>
    <col min="3069" max="3069" width="9" style="1" customWidth="1"/>
    <col min="3070" max="3071" width="4.19921875" style="1" customWidth="1"/>
    <col min="3072" max="3072" width="8.59765625" style="1" customWidth="1"/>
    <col min="3073" max="3073" width="4.19921875" style="1" customWidth="1"/>
    <col min="3074" max="3074" width="11.59765625" style="1" customWidth="1"/>
    <col min="3075" max="3314" width="8.69921875" style="1"/>
    <col min="3315" max="3315" width="3.8984375" style="1" customWidth="1"/>
    <col min="3316" max="3316" width="4.09765625" style="1" customWidth="1"/>
    <col min="3317" max="3317" width="19.19921875" style="1" customWidth="1"/>
    <col min="3318" max="3318" width="25.09765625" style="1" customWidth="1"/>
    <col min="3319" max="3319" width="9.3984375" style="1" customWidth="1"/>
    <col min="3320" max="3320" width="9.8984375" style="1" bestFit="1" customWidth="1"/>
    <col min="3321" max="3321" width="9.09765625" style="1" customWidth="1"/>
    <col min="3322" max="3322" width="10.69921875" style="1" customWidth="1"/>
    <col min="3323" max="3323" width="9.5" style="1" customWidth="1"/>
    <col min="3324" max="3324" width="10.19921875" style="1" customWidth="1"/>
    <col min="3325" max="3325" width="9" style="1" customWidth="1"/>
    <col min="3326" max="3327" width="4.19921875" style="1" customWidth="1"/>
    <col min="3328" max="3328" width="8.59765625" style="1" customWidth="1"/>
    <col min="3329" max="3329" width="4.19921875" style="1" customWidth="1"/>
    <col min="3330" max="3330" width="11.59765625" style="1" customWidth="1"/>
    <col min="3331" max="3570" width="8.69921875" style="1"/>
    <col min="3571" max="3571" width="3.8984375" style="1" customWidth="1"/>
    <col min="3572" max="3572" width="4.09765625" style="1" customWidth="1"/>
    <col min="3573" max="3573" width="19.19921875" style="1" customWidth="1"/>
    <col min="3574" max="3574" width="25.09765625" style="1" customWidth="1"/>
    <col min="3575" max="3575" width="9.3984375" style="1" customWidth="1"/>
    <col min="3576" max="3576" width="9.8984375" style="1" bestFit="1" customWidth="1"/>
    <col min="3577" max="3577" width="9.09765625" style="1" customWidth="1"/>
    <col min="3578" max="3578" width="10.69921875" style="1" customWidth="1"/>
    <col min="3579" max="3579" width="9.5" style="1" customWidth="1"/>
    <col min="3580" max="3580" width="10.19921875" style="1" customWidth="1"/>
    <col min="3581" max="3581" width="9" style="1" customWidth="1"/>
    <col min="3582" max="3583" width="4.19921875" style="1" customWidth="1"/>
    <col min="3584" max="3584" width="8.59765625" style="1" customWidth="1"/>
    <col min="3585" max="3585" width="4.19921875" style="1" customWidth="1"/>
    <col min="3586" max="3586" width="11.59765625" style="1" customWidth="1"/>
    <col min="3587" max="3826" width="8.69921875" style="1"/>
    <col min="3827" max="3827" width="3.8984375" style="1" customWidth="1"/>
    <col min="3828" max="3828" width="4.09765625" style="1" customWidth="1"/>
    <col min="3829" max="3829" width="19.19921875" style="1" customWidth="1"/>
    <col min="3830" max="3830" width="25.09765625" style="1" customWidth="1"/>
    <col min="3831" max="3831" width="9.3984375" style="1" customWidth="1"/>
    <col min="3832" max="3832" width="9.8984375" style="1" bestFit="1" customWidth="1"/>
    <col min="3833" max="3833" width="9.09765625" style="1" customWidth="1"/>
    <col min="3834" max="3834" width="10.69921875" style="1" customWidth="1"/>
    <col min="3835" max="3835" width="9.5" style="1" customWidth="1"/>
    <col min="3836" max="3836" width="10.19921875" style="1" customWidth="1"/>
    <col min="3837" max="3837" width="9" style="1" customWidth="1"/>
    <col min="3838" max="3839" width="4.19921875" style="1" customWidth="1"/>
    <col min="3840" max="3840" width="8.59765625" style="1" customWidth="1"/>
    <col min="3841" max="3841" width="4.19921875" style="1" customWidth="1"/>
    <col min="3842" max="3842" width="11.59765625" style="1" customWidth="1"/>
    <col min="3843" max="4082" width="8.69921875" style="1"/>
    <col min="4083" max="4083" width="3.8984375" style="1" customWidth="1"/>
    <col min="4084" max="4084" width="4.09765625" style="1" customWidth="1"/>
    <col min="4085" max="4085" width="19.19921875" style="1" customWidth="1"/>
    <col min="4086" max="4086" width="25.09765625" style="1" customWidth="1"/>
    <col min="4087" max="4087" width="9.3984375" style="1" customWidth="1"/>
    <col min="4088" max="4088" width="9.8984375" style="1" bestFit="1" customWidth="1"/>
    <col min="4089" max="4089" width="9.09765625" style="1" customWidth="1"/>
    <col min="4090" max="4090" width="10.69921875" style="1" customWidth="1"/>
    <col min="4091" max="4091" width="9.5" style="1" customWidth="1"/>
    <col min="4092" max="4092" width="10.19921875" style="1" customWidth="1"/>
    <col min="4093" max="4093" width="9" style="1" customWidth="1"/>
    <col min="4094" max="4095" width="4.19921875" style="1" customWidth="1"/>
    <col min="4096" max="4096" width="8.59765625" style="1" customWidth="1"/>
    <col min="4097" max="4097" width="4.19921875" style="1" customWidth="1"/>
    <col min="4098" max="4098" width="11.59765625" style="1" customWidth="1"/>
    <col min="4099" max="4338" width="8.69921875" style="1"/>
    <col min="4339" max="4339" width="3.8984375" style="1" customWidth="1"/>
    <col min="4340" max="4340" width="4.09765625" style="1" customWidth="1"/>
    <col min="4341" max="4341" width="19.19921875" style="1" customWidth="1"/>
    <col min="4342" max="4342" width="25.09765625" style="1" customWidth="1"/>
    <col min="4343" max="4343" width="9.3984375" style="1" customWidth="1"/>
    <col min="4344" max="4344" width="9.8984375" style="1" bestFit="1" customWidth="1"/>
    <col min="4345" max="4345" width="9.09765625" style="1" customWidth="1"/>
    <col min="4346" max="4346" width="10.69921875" style="1" customWidth="1"/>
    <col min="4347" max="4347" width="9.5" style="1" customWidth="1"/>
    <col min="4348" max="4348" width="10.19921875" style="1" customWidth="1"/>
    <col min="4349" max="4349" width="9" style="1" customWidth="1"/>
    <col min="4350" max="4351" width="4.19921875" style="1" customWidth="1"/>
    <col min="4352" max="4352" width="8.59765625" style="1" customWidth="1"/>
    <col min="4353" max="4353" width="4.19921875" style="1" customWidth="1"/>
    <col min="4354" max="4354" width="11.59765625" style="1" customWidth="1"/>
    <col min="4355" max="4594" width="8.69921875" style="1"/>
    <col min="4595" max="4595" width="3.8984375" style="1" customWidth="1"/>
    <col min="4596" max="4596" width="4.09765625" style="1" customWidth="1"/>
    <col min="4597" max="4597" width="19.19921875" style="1" customWidth="1"/>
    <col min="4598" max="4598" width="25.09765625" style="1" customWidth="1"/>
    <col min="4599" max="4599" width="9.3984375" style="1" customWidth="1"/>
    <col min="4600" max="4600" width="9.8984375" style="1" bestFit="1" customWidth="1"/>
    <col min="4601" max="4601" width="9.09765625" style="1" customWidth="1"/>
    <col min="4602" max="4602" width="10.69921875" style="1" customWidth="1"/>
    <col min="4603" max="4603" width="9.5" style="1" customWidth="1"/>
    <col min="4604" max="4604" width="10.19921875" style="1" customWidth="1"/>
    <col min="4605" max="4605" width="9" style="1" customWidth="1"/>
    <col min="4606" max="4607" width="4.19921875" style="1" customWidth="1"/>
    <col min="4608" max="4608" width="8.59765625" style="1" customWidth="1"/>
    <col min="4609" max="4609" width="4.19921875" style="1" customWidth="1"/>
    <col min="4610" max="4610" width="11.59765625" style="1" customWidth="1"/>
    <col min="4611" max="4850" width="8.69921875" style="1"/>
    <col min="4851" max="4851" width="3.8984375" style="1" customWidth="1"/>
    <col min="4852" max="4852" width="4.09765625" style="1" customWidth="1"/>
    <col min="4853" max="4853" width="19.19921875" style="1" customWidth="1"/>
    <col min="4854" max="4854" width="25.09765625" style="1" customWidth="1"/>
    <col min="4855" max="4855" width="9.3984375" style="1" customWidth="1"/>
    <col min="4856" max="4856" width="9.8984375" style="1" bestFit="1" customWidth="1"/>
    <col min="4857" max="4857" width="9.09765625" style="1" customWidth="1"/>
    <col min="4858" max="4858" width="10.69921875" style="1" customWidth="1"/>
    <col min="4859" max="4859" width="9.5" style="1" customWidth="1"/>
    <col min="4860" max="4860" width="10.19921875" style="1" customWidth="1"/>
    <col min="4861" max="4861" width="9" style="1" customWidth="1"/>
    <col min="4862" max="4863" width="4.19921875" style="1" customWidth="1"/>
    <col min="4864" max="4864" width="8.59765625" style="1" customWidth="1"/>
    <col min="4865" max="4865" width="4.19921875" style="1" customWidth="1"/>
    <col min="4866" max="4866" width="11.59765625" style="1" customWidth="1"/>
    <col min="4867" max="5106" width="8.69921875" style="1"/>
    <col min="5107" max="5107" width="3.8984375" style="1" customWidth="1"/>
    <col min="5108" max="5108" width="4.09765625" style="1" customWidth="1"/>
    <col min="5109" max="5109" width="19.19921875" style="1" customWidth="1"/>
    <col min="5110" max="5110" width="25.09765625" style="1" customWidth="1"/>
    <col min="5111" max="5111" width="9.3984375" style="1" customWidth="1"/>
    <col min="5112" max="5112" width="9.8984375" style="1" bestFit="1" customWidth="1"/>
    <col min="5113" max="5113" width="9.09765625" style="1" customWidth="1"/>
    <col min="5114" max="5114" width="10.69921875" style="1" customWidth="1"/>
    <col min="5115" max="5115" width="9.5" style="1" customWidth="1"/>
    <col min="5116" max="5116" width="10.19921875" style="1" customWidth="1"/>
    <col min="5117" max="5117" width="9" style="1" customWidth="1"/>
    <col min="5118" max="5119" width="4.19921875" style="1" customWidth="1"/>
    <col min="5120" max="5120" width="8.59765625" style="1" customWidth="1"/>
    <col min="5121" max="5121" width="4.19921875" style="1" customWidth="1"/>
    <col min="5122" max="5122" width="11.59765625" style="1" customWidth="1"/>
    <col min="5123" max="5362" width="8.69921875" style="1"/>
    <col min="5363" max="5363" width="3.8984375" style="1" customWidth="1"/>
    <col min="5364" max="5364" width="4.09765625" style="1" customWidth="1"/>
    <col min="5365" max="5365" width="19.19921875" style="1" customWidth="1"/>
    <col min="5366" max="5366" width="25.09765625" style="1" customWidth="1"/>
    <col min="5367" max="5367" width="9.3984375" style="1" customWidth="1"/>
    <col min="5368" max="5368" width="9.8984375" style="1" bestFit="1" customWidth="1"/>
    <col min="5369" max="5369" width="9.09765625" style="1" customWidth="1"/>
    <col min="5370" max="5370" width="10.69921875" style="1" customWidth="1"/>
    <col min="5371" max="5371" width="9.5" style="1" customWidth="1"/>
    <col min="5372" max="5372" width="10.19921875" style="1" customWidth="1"/>
    <col min="5373" max="5373" width="9" style="1" customWidth="1"/>
    <col min="5374" max="5375" width="4.19921875" style="1" customWidth="1"/>
    <col min="5376" max="5376" width="8.59765625" style="1" customWidth="1"/>
    <col min="5377" max="5377" width="4.19921875" style="1" customWidth="1"/>
    <col min="5378" max="5378" width="11.59765625" style="1" customWidth="1"/>
    <col min="5379" max="5618" width="8.69921875" style="1"/>
    <col min="5619" max="5619" width="3.8984375" style="1" customWidth="1"/>
    <col min="5620" max="5620" width="4.09765625" style="1" customWidth="1"/>
    <col min="5621" max="5621" width="19.19921875" style="1" customWidth="1"/>
    <col min="5622" max="5622" width="25.09765625" style="1" customWidth="1"/>
    <col min="5623" max="5623" width="9.3984375" style="1" customWidth="1"/>
    <col min="5624" max="5624" width="9.8984375" style="1" bestFit="1" customWidth="1"/>
    <col min="5625" max="5625" width="9.09765625" style="1" customWidth="1"/>
    <col min="5626" max="5626" width="10.69921875" style="1" customWidth="1"/>
    <col min="5627" max="5627" width="9.5" style="1" customWidth="1"/>
    <col min="5628" max="5628" width="10.19921875" style="1" customWidth="1"/>
    <col min="5629" max="5629" width="9" style="1" customWidth="1"/>
    <col min="5630" max="5631" width="4.19921875" style="1" customWidth="1"/>
    <col min="5632" max="5632" width="8.59765625" style="1" customWidth="1"/>
    <col min="5633" max="5633" width="4.19921875" style="1" customWidth="1"/>
    <col min="5634" max="5634" width="11.59765625" style="1" customWidth="1"/>
    <col min="5635" max="5874" width="8.69921875" style="1"/>
    <col min="5875" max="5875" width="3.8984375" style="1" customWidth="1"/>
    <col min="5876" max="5876" width="4.09765625" style="1" customWidth="1"/>
    <col min="5877" max="5877" width="19.19921875" style="1" customWidth="1"/>
    <col min="5878" max="5878" width="25.09765625" style="1" customWidth="1"/>
    <col min="5879" max="5879" width="9.3984375" style="1" customWidth="1"/>
    <col min="5880" max="5880" width="9.8984375" style="1" bestFit="1" customWidth="1"/>
    <col min="5881" max="5881" width="9.09765625" style="1" customWidth="1"/>
    <col min="5882" max="5882" width="10.69921875" style="1" customWidth="1"/>
    <col min="5883" max="5883" width="9.5" style="1" customWidth="1"/>
    <col min="5884" max="5884" width="10.19921875" style="1" customWidth="1"/>
    <col min="5885" max="5885" width="9" style="1" customWidth="1"/>
    <col min="5886" max="5887" width="4.19921875" style="1" customWidth="1"/>
    <col min="5888" max="5888" width="8.59765625" style="1" customWidth="1"/>
    <col min="5889" max="5889" width="4.19921875" style="1" customWidth="1"/>
    <col min="5890" max="5890" width="11.59765625" style="1" customWidth="1"/>
    <col min="5891" max="6130" width="8.69921875" style="1"/>
    <col min="6131" max="6131" width="3.8984375" style="1" customWidth="1"/>
    <col min="6132" max="6132" width="4.09765625" style="1" customWidth="1"/>
    <col min="6133" max="6133" width="19.19921875" style="1" customWidth="1"/>
    <col min="6134" max="6134" width="25.09765625" style="1" customWidth="1"/>
    <col min="6135" max="6135" width="9.3984375" style="1" customWidth="1"/>
    <col min="6136" max="6136" width="9.8984375" style="1" bestFit="1" customWidth="1"/>
    <col min="6137" max="6137" width="9.09765625" style="1" customWidth="1"/>
    <col min="6138" max="6138" width="10.69921875" style="1" customWidth="1"/>
    <col min="6139" max="6139" width="9.5" style="1" customWidth="1"/>
    <col min="6140" max="6140" width="10.19921875" style="1" customWidth="1"/>
    <col min="6141" max="6141" width="9" style="1" customWidth="1"/>
    <col min="6142" max="6143" width="4.19921875" style="1" customWidth="1"/>
    <col min="6144" max="6144" width="8.59765625" style="1" customWidth="1"/>
    <col min="6145" max="6145" width="4.19921875" style="1" customWidth="1"/>
    <col min="6146" max="6146" width="11.59765625" style="1" customWidth="1"/>
    <col min="6147" max="6386" width="8.69921875" style="1"/>
    <col min="6387" max="6387" width="3.8984375" style="1" customWidth="1"/>
    <col min="6388" max="6388" width="4.09765625" style="1" customWidth="1"/>
    <col min="6389" max="6389" width="19.19921875" style="1" customWidth="1"/>
    <col min="6390" max="6390" width="25.09765625" style="1" customWidth="1"/>
    <col min="6391" max="6391" width="9.3984375" style="1" customWidth="1"/>
    <col min="6392" max="6392" width="9.8984375" style="1" bestFit="1" customWidth="1"/>
    <col min="6393" max="6393" width="9.09765625" style="1" customWidth="1"/>
    <col min="6394" max="6394" width="10.69921875" style="1" customWidth="1"/>
    <col min="6395" max="6395" width="9.5" style="1" customWidth="1"/>
    <col min="6396" max="6396" width="10.19921875" style="1" customWidth="1"/>
    <col min="6397" max="6397" width="9" style="1" customWidth="1"/>
    <col min="6398" max="6399" width="4.19921875" style="1" customWidth="1"/>
    <col min="6400" max="6400" width="8.59765625" style="1" customWidth="1"/>
    <col min="6401" max="6401" width="4.19921875" style="1" customWidth="1"/>
    <col min="6402" max="6402" width="11.59765625" style="1" customWidth="1"/>
    <col min="6403" max="6642" width="8.69921875" style="1"/>
    <col min="6643" max="6643" width="3.8984375" style="1" customWidth="1"/>
    <col min="6644" max="6644" width="4.09765625" style="1" customWidth="1"/>
    <col min="6645" max="6645" width="19.19921875" style="1" customWidth="1"/>
    <col min="6646" max="6646" width="25.09765625" style="1" customWidth="1"/>
    <col min="6647" max="6647" width="9.3984375" style="1" customWidth="1"/>
    <col min="6648" max="6648" width="9.8984375" style="1" bestFit="1" customWidth="1"/>
    <col min="6649" max="6649" width="9.09765625" style="1" customWidth="1"/>
    <col min="6650" max="6650" width="10.69921875" style="1" customWidth="1"/>
    <col min="6651" max="6651" width="9.5" style="1" customWidth="1"/>
    <col min="6652" max="6652" width="10.19921875" style="1" customWidth="1"/>
    <col min="6653" max="6653" width="9" style="1" customWidth="1"/>
    <col min="6654" max="6655" width="4.19921875" style="1" customWidth="1"/>
    <col min="6656" max="6656" width="8.59765625" style="1" customWidth="1"/>
    <col min="6657" max="6657" width="4.19921875" style="1" customWidth="1"/>
    <col min="6658" max="6658" width="11.59765625" style="1" customWidth="1"/>
    <col min="6659" max="6898" width="8.69921875" style="1"/>
    <col min="6899" max="6899" width="3.8984375" style="1" customWidth="1"/>
    <col min="6900" max="6900" width="4.09765625" style="1" customWidth="1"/>
    <col min="6901" max="6901" width="19.19921875" style="1" customWidth="1"/>
    <col min="6902" max="6902" width="25.09765625" style="1" customWidth="1"/>
    <col min="6903" max="6903" width="9.3984375" style="1" customWidth="1"/>
    <col min="6904" max="6904" width="9.8984375" style="1" bestFit="1" customWidth="1"/>
    <col min="6905" max="6905" width="9.09765625" style="1" customWidth="1"/>
    <col min="6906" max="6906" width="10.69921875" style="1" customWidth="1"/>
    <col min="6907" max="6907" width="9.5" style="1" customWidth="1"/>
    <col min="6908" max="6908" width="10.19921875" style="1" customWidth="1"/>
    <col min="6909" max="6909" width="9" style="1" customWidth="1"/>
    <col min="6910" max="6911" width="4.19921875" style="1" customWidth="1"/>
    <col min="6912" max="6912" width="8.59765625" style="1" customWidth="1"/>
    <col min="6913" max="6913" width="4.19921875" style="1" customWidth="1"/>
    <col min="6914" max="6914" width="11.59765625" style="1" customWidth="1"/>
    <col min="6915" max="7154" width="8.69921875" style="1"/>
    <col min="7155" max="7155" width="3.8984375" style="1" customWidth="1"/>
    <col min="7156" max="7156" width="4.09765625" style="1" customWidth="1"/>
    <col min="7157" max="7157" width="19.19921875" style="1" customWidth="1"/>
    <col min="7158" max="7158" width="25.09765625" style="1" customWidth="1"/>
    <col min="7159" max="7159" width="9.3984375" style="1" customWidth="1"/>
    <col min="7160" max="7160" width="9.8984375" style="1" bestFit="1" customWidth="1"/>
    <col min="7161" max="7161" width="9.09765625" style="1" customWidth="1"/>
    <col min="7162" max="7162" width="10.69921875" style="1" customWidth="1"/>
    <col min="7163" max="7163" width="9.5" style="1" customWidth="1"/>
    <col min="7164" max="7164" width="10.19921875" style="1" customWidth="1"/>
    <col min="7165" max="7165" width="9" style="1" customWidth="1"/>
    <col min="7166" max="7167" width="4.19921875" style="1" customWidth="1"/>
    <col min="7168" max="7168" width="8.59765625" style="1" customWidth="1"/>
    <col min="7169" max="7169" width="4.19921875" style="1" customWidth="1"/>
    <col min="7170" max="7170" width="11.59765625" style="1" customWidth="1"/>
    <col min="7171" max="7410" width="8.69921875" style="1"/>
    <col min="7411" max="7411" width="3.8984375" style="1" customWidth="1"/>
    <col min="7412" max="7412" width="4.09765625" style="1" customWidth="1"/>
    <col min="7413" max="7413" width="19.19921875" style="1" customWidth="1"/>
    <col min="7414" max="7414" width="25.09765625" style="1" customWidth="1"/>
    <col min="7415" max="7415" width="9.3984375" style="1" customWidth="1"/>
    <col min="7416" max="7416" width="9.8984375" style="1" bestFit="1" customWidth="1"/>
    <col min="7417" max="7417" width="9.09765625" style="1" customWidth="1"/>
    <col min="7418" max="7418" width="10.69921875" style="1" customWidth="1"/>
    <col min="7419" max="7419" width="9.5" style="1" customWidth="1"/>
    <col min="7420" max="7420" width="10.19921875" style="1" customWidth="1"/>
    <col min="7421" max="7421" width="9" style="1" customWidth="1"/>
    <col min="7422" max="7423" width="4.19921875" style="1" customWidth="1"/>
    <col min="7424" max="7424" width="8.59765625" style="1" customWidth="1"/>
    <col min="7425" max="7425" width="4.19921875" style="1" customWidth="1"/>
    <col min="7426" max="7426" width="11.59765625" style="1" customWidth="1"/>
    <col min="7427" max="7666" width="8.69921875" style="1"/>
    <col min="7667" max="7667" width="3.8984375" style="1" customWidth="1"/>
    <col min="7668" max="7668" width="4.09765625" style="1" customWidth="1"/>
    <col min="7669" max="7669" width="19.19921875" style="1" customWidth="1"/>
    <col min="7670" max="7670" width="25.09765625" style="1" customWidth="1"/>
    <col min="7671" max="7671" width="9.3984375" style="1" customWidth="1"/>
    <col min="7672" max="7672" width="9.8984375" style="1" bestFit="1" customWidth="1"/>
    <col min="7673" max="7673" width="9.09765625" style="1" customWidth="1"/>
    <col min="7674" max="7674" width="10.69921875" style="1" customWidth="1"/>
    <col min="7675" max="7675" width="9.5" style="1" customWidth="1"/>
    <col min="7676" max="7676" width="10.19921875" style="1" customWidth="1"/>
    <col min="7677" max="7677" width="9" style="1" customWidth="1"/>
    <col min="7678" max="7679" width="4.19921875" style="1" customWidth="1"/>
    <col min="7680" max="7680" width="8.59765625" style="1" customWidth="1"/>
    <col min="7681" max="7681" width="4.19921875" style="1" customWidth="1"/>
    <col min="7682" max="7682" width="11.59765625" style="1" customWidth="1"/>
    <col min="7683" max="7922" width="8.69921875" style="1"/>
    <col min="7923" max="7923" width="3.8984375" style="1" customWidth="1"/>
    <col min="7924" max="7924" width="4.09765625" style="1" customWidth="1"/>
    <col min="7925" max="7925" width="19.19921875" style="1" customWidth="1"/>
    <col min="7926" max="7926" width="25.09765625" style="1" customWidth="1"/>
    <col min="7927" max="7927" width="9.3984375" style="1" customWidth="1"/>
    <col min="7928" max="7928" width="9.8984375" style="1" bestFit="1" customWidth="1"/>
    <col min="7929" max="7929" width="9.09765625" style="1" customWidth="1"/>
    <col min="7930" max="7930" width="10.69921875" style="1" customWidth="1"/>
    <col min="7931" max="7931" width="9.5" style="1" customWidth="1"/>
    <col min="7932" max="7932" width="10.19921875" style="1" customWidth="1"/>
    <col min="7933" max="7933" width="9" style="1" customWidth="1"/>
    <col min="7934" max="7935" width="4.19921875" style="1" customWidth="1"/>
    <col min="7936" max="7936" width="8.59765625" style="1" customWidth="1"/>
    <col min="7937" max="7937" width="4.19921875" style="1" customWidth="1"/>
    <col min="7938" max="7938" width="11.59765625" style="1" customWidth="1"/>
    <col min="7939" max="8178" width="8.69921875" style="1"/>
    <col min="8179" max="8179" width="3.8984375" style="1" customWidth="1"/>
    <col min="8180" max="8180" width="4.09765625" style="1" customWidth="1"/>
    <col min="8181" max="8181" width="19.19921875" style="1" customWidth="1"/>
    <col min="8182" max="8182" width="25.09765625" style="1" customWidth="1"/>
    <col min="8183" max="8183" width="9.3984375" style="1" customWidth="1"/>
    <col min="8184" max="8184" width="9.8984375" style="1" bestFit="1" customWidth="1"/>
    <col min="8185" max="8185" width="9.09765625" style="1" customWidth="1"/>
    <col min="8186" max="8186" width="10.69921875" style="1" customWidth="1"/>
    <col min="8187" max="8187" width="9.5" style="1" customWidth="1"/>
    <col min="8188" max="8188" width="10.19921875" style="1" customWidth="1"/>
    <col min="8189" max="8189" width="9" style="1" customWidth="1"/>
    <col min="8190" max="8191" width="4.19921875" style="1" customWidth="1"/>
    <col min="8192" max="8192" width="8.59765625" style="1" customWidth="1"/>
    <col min="8193" max="8193" width="4.19921875" style="1" customWidth="1"/>
    <col min="8194" max="8194" width="11.59765625" style="1" customWidth="1"/>
    <col min="8195" max="8434" width="8.69921875" style="1"/>
    <col min="8435" max="8435" width="3.8984375" style="1" customWidth="1"/>
    <col min="8436" max="8436" width="4.09765625" style="1" customWidth="1"/>
    <col min="8437" max="8437" width="19.19921875" style="1" customWidth="1"/>
    <col min="8438" max="8438" width="25.09765625" style="1" customWidth="1"/>
    <col min="8439" max="8439" width="9.3984375" style="1" customWidth="1"/>
    <col min="8440" max="8440" width="9.8984375" style="1" bestFit="1" customWidth="1"/>
    <col min="8441" max="8441" width="9.09765625" style="1" customWidth="1"/>
    <col min="8442" max="8442" width="10.69921875" style="1" customWidth="1"/>
    <col min="8443" max="8443" width="9.5" style="1" customWidth="1"/>
    <col min="8444" max="8444" width="10.19921875" style="1" customWidth="1"/>
    <col min="8445" max="8445" width="9" style="1" customWidth="1"/>
    <col min="8446" max="8447" width="4.19921875" style="1" customWidth="1"/>
    <col min="8448" max="8448" width="8.59765625" style="1" customWidth="1"/>
    <col min="8449" max="8449" width="4.19921875" style="1" customWidth="1"/>
    <col min="8450" max="8450" width="11.59765625" style="1" customWidth="1"/>
    <col min="8451" max="8690" width="8.69921875" style="1"/>
    <col min="8691" max="8691" width="3.8984375" style="1" customWidth="1"/>
    <col min="8692" max="8692" width="4.09765625" style="1" customWidth="1"/>
    <col min="8693" max="8693" width="19.19921875" style="1" customWidth="1"/>
    <col min="8694" max="8694" width="25.09765625" style="1" customWidth="1"/>
    <col min="8695" max="8695" width="9.3984375" style="1" customWidth="1"/>
    <col min="8696" max="8696" width="9.8984375" style="1" bestFit="1" customWidth="1"/>
    <col min="8697" max="8697" width="9.09765625" style="1" customWidth="1"/>
    <col min="8698" max="8698" width="10.69921875" style="1" customWidth="1"/>
    <col min="8699" max="8699" width="9.5" style="1" customWidth="1"/>
    <col min="8700" max="8700" width="10.19921875" style="1" customWidth="1"/>
    <col min="8701" max="8701" width="9" style="1" customWidth="1"/>
    <col min="8702" max="8703" width="4.19921875" style="1" customWidth="1"/>
    <col min="8704" max="8704" width="8.59765625" style="1" customWidth="1"/>
    <col min="8705" max="8705" width="4.19921875" style="1" customWidth="1"/>
    <col min="8706" max="8706" width="11.59765625" style="1" customWidth="1"/>
    <col min="8707" max="8946" width="8.69921875" style="1"/>
    <col min="8947" max="8947" width="3.8984375" style="1" customWidth="1"/>
    <col min="8948" max="8948" width="4.09765625" style="1" customWidth="1"/>
    <col min="8949" max="8949" width="19.19921875" style="1" customWidth="1"/>
    <col min="8950" max="8950" width="25.09765625" style="1" customWidth="1"/>
    <col min="8951" max="8951" width="9.3984375" style="1" customWidth="1"/>
    <col min="8952" max="8952" width="9.8984375" style="1" bestFit="1" customWidth="1"/>
    <col min="8953" max="8953" width="9.09765625" style="1" customWidth="1"/>
    <col min="8954" max="8954" width="10.69921875" style="1" customWidth="1"/>
    <col min="8955" max="8955" width="9.5" style="1" customWidth="1"/>
    <col min="8956" max="8956" width="10.19921875" style="1" customWidth="1"/>
    <col min="8957" max="8957" width="9" style="1" customWidth="1"/>
    <col min="8958" max="8959" width="4.19921875" style="1" customWidth="1"/>
    <col min="8960" max="8960" width="8.59765625" style="1" customWidth="1"/>
    <col min="8961" max="8961" width="4.19921875" style="1" customWidth="1"/>
    <col min="8962" max="8962" width="11.59765625" style="1" customWidth="1"/>
    <col min="8963" max="9202" width="8.69921875" style="1"/>
    <col min="9203" max="9203" width="3.8984375" style="1" customWidth="1"/>
    <col min="9204" max="9204" width="4.09765625" style="1" customWidth="1"/>
    <col min="9205" max="9205" width="19.19921875" style="1" customWidth="1"/>
    <col min="9206" max="9206" width="25.09765625" style="1" customWidth="1"/>
    <col min="9207" max="9207" width="9.3984375" style="1" customWidth="1"/>
    <col min="9208" max="9208" width="9.8984375" style="1" bestFit="1" customWidth="1"/>
    <col min="9209" max="9209" width="9.09765625" style="1" customWidth="1"/>
    <col min="9210" max="9210" width="10.69921875" style="1" customWidth="1"/>
    <col min="9211" max="9211" width="9.5" style="1" customWidth="1"/>
    <col min="9212" max="9212" width="10.19921875" style="1" customWidth="1"/>
    <col min="9213" max="9213" width="9" style="1" customWidth="1"/>
    <col min="9214" max="9215" width="4.19921875" style="1" customWidth="1"/>
    <col min="9216" max="9216" width="8.59765625" style="1" customWidth="1"/>
    <col min="9217" max="9217" width="4.19921875" style="1" customWidth="1"/>
    <col min="9218" max="9218" width="11.59765625" style="1" customWidth="1"/>
    <col min="9219" max="9458" width="8.69921875" style="1"/>
    <col min="9459" max="9459" width="3.8984375" style="1" customWidth="1"/>
    <col min="9460" max="9460" width="4.09765625" style="1" customWidth="1"/>
    <col min="9461" max="9461" width="19.19921875" style="1" customWidth="1"/>
    <col min="9462" max="9462" width="25.09765625" style="1" customWidth="1"/>
    <col min="9463" max="9463" width="9.3984375" style="1" customWidth="1"/>
    <col min="9464" max="9464" width="9.8984375" style="1" bestFit="1" customWidth="1"/>
    <col min="9465" max="9465" width="9.09765625" style="1" customWidth="1"/>
    <col min="9466" max="9466" width="10.69921875" style="1" customWidth="1"/>
    <col min="9467" max="9467" width="9.5" style="1" customWidth="1"/>
    <col min="9468" max="9468" width="10.19921875" style="1" customWidth="1"/>
    <col min="9469" max="9469" width="9" style="1" customWidth="1"/>
    <col min="9470" max="9471" width="4.19921875" style="1" customWidth="1"/>
    <col min="9472" max="9472" width="8.59765625" style="1" customWidth="1"/>
    <col min="9473" max="9473" width="4.19921875" style="1" customWidth="1"/>
    <col min="9474" max="9474" width="11.59765625" style="1" customWidth="1"/>
    <col min="9475" max="9714" width="8.69921875" style="1"/>
    <col min="9715" max="9715" width="3.8984375" style="1" customWidth="1"/>
    <col min="9716" max="9716" width="4.09765625" style="1" customWidth="1"/>
    <col min="9717" max="9717" width="19.19921875" style="1" customWidth="1"/>
    <col min="9718" max="9718" width="25.09765625" style="1" customWidth="1"/>
    <col min="9719" max="9719" width="9.3984375" style="1" customWidth="1"/>
    <col min="9720" max="9720" width="9.8984375" style="1" bestFit="1" customWidth="1"/>
    <col min="9721" max="9721" width="9.09765625" style="1" customWidth="1"/>
    <col min="9722" max="9722" width="10.69921875" style="1" customWidth="1"/>
    <col min="9723" max="9723" width="9.5" style="1" customWidth="1"/>
    <col min="9724" max="9724" width="10.19921875" style="1" customWidth="1"/>
    <col min="9725" max="9725" width="9" style="1" customWidth="1"/>
    <col min="9726" max="9727" width="4.19921875" style="1" customWidth="1"/>
    <col min="9728" max="9728" width="8.59765625" style="1" customWidth="1"/>
    <col min="9729" max="9729" width="4.19921875" style="1" customWidth="1"/>
    <col min="9730" max="9730" width="11.59765625" style="1" customWidth="1"/>
    <col min="9731" max="9970" width="8.69921875" style="1"/>
    <col min="9971" max="9971" width="3.8984375" style="1" customWidth="1"/>
    <col min="9972" max="9972" width="4.09765625" style="1" customWidth="1"/>
    <col min="9973" max="9973" width="19.19921875" style="1" customWidth="1"/>
    <col min="9974" max="9974" width="25.09765625" style="1" customWidth="1"/>
    <col min="9975" max="9975" width="9.3984375" style="1" customWidth="1"/>
    <col min="9976" max="9976" width="9.8984375" style="1" bestFit="1" customWidth="1"/>
    <col min="9977" max="9977" width="9.09765625" style="1" customWidth="1"/>
    <col min="9978" max="9978" width="10.69921875" style="1" customWidth="1"/>
    <col min="9979" max="9979" width="9.5" style="1" customWidth="1"/>
    <col min="9980" max="9980" width="10.19921875" style="1" customWidth="1"/>
    <col min="9981" max="9981" width="9" style="1" customWidth="1"/>
    <col min="9982" max="9983" width="4.19921875" style="1" customWidth="1"/>
    <col min="9984" max="9984" width="8.59765625" style="1" customWidth="1"/>
    <col min="9985" max="9985" width="4.19921875" style="1" customWidth="1"/>
    <col min="9986" max="9986" width="11.59765625" style="1" customWidth="1"/>
    <col min="9987" max="10226" width="8.69921875" style="1"/>
    <col min="10227" max="10227" width="3.8984375" style="1" customWidth="1"/>
    <col min="10228" max="10228" width="4.09765625" style="1" customWidth="1"/>
    <col min="10229" max="10229" width="19.19921875" style="1" customWidth="1"/>
    <col min="10230" max="10230" width="25.09765625" style="1" customWidth="1"/>
    <col min="10231" max="10231" width="9.3984375" style="1" customWidth="1"/>
    <col min="10232" max="10232" width="9.8984375" style="1" bestFit="1" customWidth="1"/>
    <col min="10233" max="10233" width="9.09765625" style="1" customWidth="1"/>
    <col min="10234" max="10234" width="10.69921875" style="1" customWidth="1"/>
    <col min="10235" max="10235" width="9.5" style="1" customWidth="1"/>
    <col min="10236" max="10236" width="10.19921875" style="1" customWidth="1"/>
    <col min="10237" max="10237" width="9" style="1" customWidth="1"/>
    <col min="10238" max="10239" width="4.19921875" style="1" customWidth="1"/>
    <col min="10240" max="10240" width="8.59765625" style="1" customWidth="1"/>
    <col min="10241" max="10241" width="4.19921875" style="1" customWidth="1"/>
    <col min="10242" max="10242" width="11.59765625" style="1" customWidth="1"/>
    <col min="10243" max="10482" width="8.69921875" style="1"/>
    <col min="10483" max="10483" width="3.8984375" style="1" customWidth="1"/>
    <col min="10484" max="10484" width="4.09765625" style="1" customWidth="1"/>
    <col min="10485" max="10485" width="19.19921875" style="1" customWidth="1"/>
    <col min="10486" max="10486" width="25.09765625" style="1" customWidth="1"/>
    <col min="10487" max="10487" width="9.3984375" style="1" customWidth="1"/>
    <col min="10488" max="10488" width="9.8984375" style="1" bestFit="1" customWidth="1"/>
    <col min="10489" max="10489" width="9.09765625" style="1" customWidth="1"/>
    <col min="10490" max="10490" width="10.69921875" style="1" customWidth="1"/>
    <col min="10491" max="10491" width="9.5" style="1" customWidth="1"/>
    <col min="10492" max="10492" width="10.19921875" style="1" customWidth="1"/>
    <col min="10493" max="10493" width="9" style="1" customWidth="1"/>
    <col min="10494" max="10495" width="4.19921875" style="1" customWidth="1"/>
    <col min="10496" max="10496" width="8.59765625" style="1" customWidth="1"/>
    <col min="10497" max="10497" width="4.19921875" style="1" customWidth="1"/>
    <col min="10498" max="10498" width="11.59765625" style="1" customWidth="1"/>
    <col min="10499" max="10738" width="8.69921875" style="1"/>
    <col min="10739" max="10739" width="3.8984375" style="1" customWidth="1"/>
    <col min="10740" max="10740" width="4.09765625" style="1" customWidth="1"/>
    <col min="10741" max="10741" width="19.19921875" style="1" customWidth="1"/>
    <col min="10742" max="10742" width="25.09765625" style="1" customWidth="1"/>
    <col min="10743" max="10743" width="9.3984375" style="1" customWidth="1"/>
    <col min="10744" max="10744" width="9.8984375" style="1" bestFit="1" customWidth="1"/>
    <col min="10745" max="10745" width="9.09765625" style="1" customWidth="1"/>
    <col min="10746" max="10746" width="10.69921875" style="1" customWidth="1"/>
    <col min="10747" max="10747" width="9.5" style="1" customWidth="1"/>
    <col min="10748" max="10748" width="10.19921875" style="1" customWidth="1"/>
    <col min="10749" max="10749" width="9" style="1" customWidth="1"/>
    <col min="10750" max="10751" width="4.19921875" style="1" customWidth="1"/>
    <col min="10752" max="10752" width="8.59765625" style="1" customWidth="1"/>
    <col min="10753" max="10753" width="4.19921875" style="1" customWidth="1"/>
    <col min="10754" max="10754" width="11.59765625" style="1" customWidth="1"/>
    <col min="10755" max="10994" width="8.69921875" style="1"/>
    <col min="10995" max="10995" width="3.8984375" style="1" customWidth="1"/>
    <col min="10996" max="10996" width="4.09765625" style="1" customWidth="1"/>
    <col min="10997" max="10997" width="19.19921875" style="1" customWidth="1"/>
    <col min="10998" max="10998" width="25.09765625" style="1" customWidth="1"/>
    <col min="10999" max="10999" width="9.3984375" style="1" customWidth="1"/>
    <col min="11000" max="11000" width="9.8984375" style="1" bestFit="1" customWidth="1"/>
    <col min="11001" max="11001" width="9.09765625" style="1" customWidth="1"/>
    <col min="11002" max="11002" width="10.69921875" style="1" customWidth="1"/>
    <col min="11003" max="11003" width="9.5" style="1" customWidth="1"/>
    <col min="11004" max="11004" width="10.19921875" style="1" customWidth="1"/>
    <col min="11005" max="11005" width="9" style="1" customWidth="1"/>
    <col min="11006" max="11007" width="4.19921875" style="1" customWidth="1"/>
    <col min="11008" max="11008" width="8.59765625" style="1" customWidth="1"/>
    <col min="11009" max="11009" width="4.19921875" style="1" customWidth="1"/>
    <col min="11010" max="11010" width="11.59765625" style="1" customWidth="1"/>
    <col min="11011" max="11250" width="8.69921875" style="1"/>
    <col min="11251" max="11251" width="3.8984375" style="1" customWidth="1"/>
    <col min="11252" max="11252" width="4.09765625" style="1" customWidth="1"/>
    <col min="11253" max="11253" width="19.19921875" style="1" customWidth="1"/>
    <col min="11254" max="11254" width="25.09765625" style="1" customWidth="1"/>
    <col min="11255" max="11255" width="9.3984375" style="1" customWidth="1"/>
    <col min="11256" max="11256" width="9.8984375" style="1" bestFit="1" customWidth="1"/>
    <col min="11257" max="11257" width="9.09765625" style="1" customWidth="1"/>
    <col min="11258" max="11258" width="10.69921875" style="1" customWidth="1"/>
    <col min="11259" max="11259" width="9.5" style="1" customWidth="1"/>
    <col min="11260" max="11260" width="10.19921875" style="1" customWidth="1"/>
    <col min="11261" max="11261" width="9" style="1" customWidth="1"/>
    <col min="11262" max="11263" width="4.19921875" style="1" customWidth="1"/>
    <col min="11264" max="11264" width="8.59765625" style="1" customWidth="1"/>
    <col min="11265" max="11265" width="4.19921875" style="1" customWidth="1"/>
    <col min="11266" max="11266" width="11.59765625" style="1" customWidth="1"/>
    <col min="11267" max="11506" width="8.69921875" style="1"/>
    <col min="11507" max="11507" width="3.8984375" style="1" customWidth="1"/>
    <col min="11508" max="11508" width="4.09765625" style="1" customWidth="1"/>
    <col min="11509" max="11509" width="19.19921875" style="1" customWidth="1"/>
    <col min="11510" max="11510" width="25.09765625" style="1" customWidth="1"/>
    <col min="11511" max="11511" width="9.3984375" style="1" customWidth="1"/>
    <col min="11512" max="11512" width="9.8984375" style="1" bestFit="1" customWidth="1"/>
    <col min="11513" max="11513" width="9.09765625" style="1" customWidth="1"/>
    <col min="11514" max="11514" width="10.69921875" style="1" customWidth="1"/>
    <col min="11515" max="11515" width="9.5" style="1" customWidth="1"/>
    <col min="11516" max="11516" width="10.19921875" style="1" customWidth="1"/>
    <col min="11517" max="11517" width="9" style="1" customWidth="1"/>
    <col min="11518" max="11519" width="4.19921875" style="1" customWidth="1"/>
    <col min="11520" max="11520" width="8.59765625" style="1" customWidth="1"/>
    <col min="11521" max="11521" width="4.19921875" style="1" customWidth="1"/>
    <col min="11522" max="11522" width="11.59765625" style="1" customWidth="1"/>
    <col min="11523" max="11762" width="8.69921875" style="1"/>
    <col min="11763" max="11763" width="3.8984375" style="1" customWidth="1"/>
    <col min="11764" max="11764" width="4.09765625" style="1" customWidth="1"/>
    <col min="11765" max="11765" width="19.19921875" style="1" customWidth="1"/>
    <col min="11766" max="11766" width="25.09765625" style="1" customWidth="1"/>
    <col min="11767" max="11767" width="9.3984375" style="1" customWidth="1"/>
    <col min="11768" max="11768" width="9.8984375" style="1" bestFit="1" customWidth="1"/>
    <col min="11769" max="11769" width="9.09765625" style="1" customWidth="1"/>
    <col min="11770" max="11770" width="10.69921875" style="1" customWidth="1"/>
    <col min="11771" max="11771" width="9.5" style="1" customWidth="1"/>
    <col min="11772" max="11772" width="10.19921875" style="1" customWidth="1"/>
    <col min="11773" max="11773" width="9" style="1" customWidth="1"/>
    <col min="11774" max="11775" width="4.19921875" style="1" customWidth="1"/>
    <col min="11776" max="11776" width="8.59765625" style="1" customWidth="1"/>
    <col min="11777" max="11777" width="4.19921875" style="1" customWidth="1"/>
    <col min="11778" max="11778" width="11.59765625" style="1" customWidth="1"/>
    <col min="11779" max="12018" width="8.69921875" style="1"/>
    <col min="12019" max="12019" width="3.8984375" style="1" customWidth="1"/>
    <col min="12020" max="12020" width="4.09765625" style="1" customWidth="1"/>
    <col min="12021" max="12021" width="19.19921875" style="1" customWidth="1"/>
    <col min="12022" max="12022" width="25.09765625" style="1" customWidth="1"/>
    <col min="12023" max="12023" width="9.3984375" style="1" customWidth="1"/>
    <col min="12024" max="12024" width="9.8984375" style="1" bestFit="1" customWidth="1"/>
    <col min="12025" max="12025" width="9.09765625" style="1" customWidth="1"/>
    <col min="12026" max="12026" width="10.69921875" style="1" customWidth="1"/>
    <col min="12027" max="12027" width="9.5" style="1" customWidth="1"/>
    <col min="12028" max="12028" width="10.19921875" style="1" customWidth="1"/>
    <col min="12029" max="12029" width="9" style="1" customWidth="1"/>
    <col min="12030" max="12031" width="4.19921875" style="1" customWidth="1"/>
    <col min="12032" max="12032" width="8.59765625" style="1" customWidth="1"/>
    <col min="12033" max="12033" width="4.19921875" style="1" customWidth="1"/>
    <col min="12034" max="12034" width="11.59765625" style="1" customWidth="1"/>
    <col min="12035" max="12274" width="8.69921875" style="1"/>
    <col min="12275" max="12275" width="3.8984375" style="1" customWidth="1"/>
    <col min="12276" max="12276" width="4.09765625" style="1" customWidth="1"/>
    <col min="12277" max="12277" width="19.19921875" style="1" customWidth="1"/>
    <col min="12278" max="12278" width="25.09765625" style="1" customWidth="1"/>
    <col min="12279" max="12279" width="9.3984375" style="1" customWidth="1"/>
    <col min="12280" max="12280" width="9.8984375" style="1" bestFit="1" customWidth="1"/>
    <col min="12281" max="12281" width="9.09765625" style="1" customWidth="1"/>
    <col min="12282" max="12282" width="10.69921875" style="1" customWidth="1"/>
    <col min="12283" max="12283" width="9.5" style="1" customWidth="1"/>
    <col min="12284" max="12284" width="10.19921875" style="1" customWidth="1"/>
    <col min="12285" max="12285" width="9" style="1" customWidth="1"/>
    <col min="12286" max="12287" width="4.19921875" style="1" customWidth="1"/>
    <col min="12288" max="12288" width="8.59765625" style="1" customWidth="1"/>
    <col min="12289" max="12289" width="4.19921875" style="1" customWidth="1"/>
    <col min="12290" max="12290" width="11.59765625" style="1" customWidth="1"/>
    <col min="12291" max="12530" width="8.69921875" style="1"/>
    <col min="12531" max="12531" width="3.8984375" style="1" customWidth="1"/>
    <col min="12532" max="12532" width="4.09765625" style="1" customWidth="1"/>
    <col min="12533" max="12533" width="19.19921875" style="1" customWidth="1"/>
    <col min="12534" max="12534" width="25.09765625" style="1" customWidth="1"/>
    <col min="12535" max="12535" width="9.3984375" style="1" customWidth="1"/>
    <col min="12536" max="12536" width="9.8984375" style="1" bestFit="1" customWidth="1"/>
    <col min="12537" max="12537" width="9.09765625" style="1" customWidth="1"/>
    <col min="12538" max="12538" width="10.69921875" style="1" customWidth="1"/>
    <col min="12539" max="12539" width="9.5" style="1" customWidth="1"/>
    <col min="12540" max="12540" width="10.19921875" style="1" customWidth="1"/>
    <col min="12541" max="12541" width="9" style="1" customWidth="1"/>
    <col min="12542" max="12543" width="4.19921875" style="1" customWidth="1"/>
    <col min="12544" max="12544" width="8.59765625" style="1" customWidth="1"/>
    <col min="12545" max="12545" width="4.19921875" style="1" customWidth="1"/>
    <col min="12546" max="12546" width="11.59765625" style="1" customWidth="1"/>
    <col min="12547" max="12786" width="8.69921875" style="1"/>
    <col min="12787" max="12787" width="3.8984375" style="1" customWidth="1"/>
    <col min="12788" max="12788" width="4.09765625" style="1" customWidth="1"/>
    <col min="12789" max="12789" width="19.19921875" style="1" customWidth="1"/>
    <col min="12790" max="12790" width="25.09765625" style="1" customWidth="1"/>
    <col min="12791" max="12791" width="9.3984375" style="1" customWidth="1"/>
    <col min="12792" max="12792" width="9.8984375" style="1" bestFit="1" customWidth="1"/>
    <col min="12793" max="12793" width="9.09765625" style="1" customWidth="1"/>
    <col min="12794" max="12794" width="10.69921875" style="1" customWidth="1"/>
    <col min="12795" max="12795" width="9.5" style="1" customWidth="1"/>
    <col min="12796" max="12796" width="10.19921875" style="1" customWidth="1"/>
    <col min="12797" max="12797" width="9" style="1" customWidth="1"/>
    <col min="12798" max="12799" width="4.19921875" style="1" customWidth="1"/>
    <col min="12800" max="12800" width="8.59765625" style="1" customWidth="1"/>
    <col min="12801" max="12801" width="4.19921875" style="1" customWidth="1"/>
    <col min="12802" max="12802" width="11.59765625" style="1" customWidth="1"/>
    <col min="12803" max="13042" width="8.69921875" style="1"/>
    <col min="13043" max="13043" width="3.8984375" style="1" customWidth="1"/>
    <col min="13044" max="13044" width="4.09765625" style="1" customWidth="1"/>
    <col min="13045" max="13045" width="19.19921875" style="1" customWidth="1"/>
    <col min="13046" max="13046" width="25.09765625" style="1" customWidth="1"/>
    <col min="13047" max="13047" width="9.3984375" style="1" customWidth="1"/>
    <col min="13048" max="13048" width="9.8984375" style="1" bestFit="1" customWidth="1"/>
    <col min="13049" max="13049" width="9.09765625" style="1" customWidth="1"/>
    <col min="13050" max="13050" width="10.69921875" style="1" customWidth="1"/>
    <col min="13051" max="13051" width="9.5" style="1" customWidth="1"/>
    <col min="13052" max="13052" width="10.19921875" style="1" customWidth="1"/>
    <col min="13053" max="13053" width="9" style="1" customWidth="1"/>
    <col min="13054" max="13055" width="4.19921875" style="1" customWidth="1"/>
    <col min="13056" max="13056" width="8.59765625" style="1" customWidth="1"/>
    <col min="13057" max="13057" width="4.19921875" style="1" customWidth="1"/>
    <col min="13058" max="13058" width="11.59765625" style="1" customWidth="1"/>
    <col min="13059" max="13298" width="8.69921875" style="1"/>
    <col min="13299" max="13299" width="3.8984375" style="1" customWidth="1"/>
    <col min="13300" max="13300" width="4.09765625" style="1" customWidth="1"/>
    <col min="13301" max="13301" width="19.19921875" style="1" customWidth="1"/>
    <col min="13302" max="13302" width="25.09765625" style="1" customWidth="1"/>
    <col min="13303" max="13303" width="9.3984375" style="1" customWidth="1"/>
    <col min="13304" max="13304" width="9.8984375" style="1" bestFit="1" customWidth="1"/>
    <col min="13305" max="13305" width="9.09765625" style="1" customWidth="1"/>
    <col min="13306" max="13306" width="10.69921875" style="1" customWidth="1"/>
    <col min="13307" max="13307" width="9.5" style="1" customWidth="1"/>
    <col min="13308" max="13308" width="10.19921875" style="1" customWidth="1"/>
    <col min="13309" max="13309" width="9" style="1" customWidth="1"/>
    <col min="13310" max="13311" width="4.19921875" style="1" customWidth="1"/>
    <col min="13312" max="13312" width="8.59765625" style="1" customWidth="1"/>
    <col min="13313" max="13313" width="4.19921875" style="1" customWidth="1"/>
    <col min="13314" max="13314" width="11.59765625" style="1" customWidth="1"/>
    <col min="13315" max="13554" width="8.69921875" style="1"/>
    <col min="13555" max="13555" width="3.8984375" style="1" customWidth="1"/>
    <col min="13556" max="13556" width="4.09765625" style="1" customWidth="1"/>
    <col min="13557" max="13557" width="19.19921875" style="1" customWidth="1"/>
    <col min="13558" max="13558" width="25.09765625" style="1" customWidth="1"/>
    <col min="13559" max="13559" width="9.3984375" style="1" customWidth="1"/>
    <col min="13560" max="13560" width="9.8984375" style="1" bestFit="1" customWidth="1"/>
    <col min="13561" max="13561" width="9.09765625" style="1" customWidth="1"/>
    <col min="13562" max="13562" width="10.69921875" style="1" customWidth="1"/>
    <col min="13563" max="13563" width="9.5" style="1" customWidth="1"/>
    <col min="13564" max="13564" width="10.19921875" style="1" customWidth="1"/>
    <col min="13565" max="13565" width="9" style="1" customWidth="1"/>
    <col min="13566" max="13567" width="4.19921875" style="1" customWidth="1"/>
    <col min="13568" max="13568" width="8.59765625" style="1" customWidth="1"/>
    <col min="13569" max="13569" width="4.19921875" style="1" customWidth="1"/>
    <col min="13570" max="13570" width="11.59765625" style="1" customWidth="1"/>
    <col min="13571" max="13810" width="8.69921875" style="1"/>
    <col min="13811" max="13811" width="3.8984375" style="1" customWidth="1"/>
    <col min="13812" max="13812" width="4.09765625" style="1" customWidth="1"/>
    <col min="13813" max="13813" width="19.19921875" style="1" customWidth="1"/>
    <col min="13814" max="13814" width="25.09765625" style="1" customWidth="1"/>
    <col min="13815" max="13815" width="9.3984375" style="1" customWidth="1"/>
    <col min="13816" max="13816" width="9.8984375" style="1" bestFit="1" customWidth="1"/>
    <col min="13817" max="13817" width="9.09765625" style="1" customWidth="1"/>
    <col min="13818" max="13818" width="10.69921875" style="1" customWidth="1"/>
    <col min="13819" max="13819" width="9.5" style="1" customWidth="1"/>
    <col min="13820" max="13820" width="10.19921875" style="1" customWidth="1"/>
    <col min="13821" max="13821" width="9" style="1" customWidth="1"/>
    <col min="13822" max="13823" width="4.19921875" style="1" customWidth="1"/>
    <col min="13824" max="13824" width="8.59765625" style="1" customWidth="1"/>
    <col min="13825" max="13825" width="4.19921875" style="1" customWidth="1"/>
    <col min="13826" max="13826" width="11.59765625" style="1" customWidth="1"/>
    <col min="13827" max="14066" width="8.69921875" style="1"/>
    <col min="14067" max="14067" width="3.8984375" style="1" customWidth="1"/>
    <col min="14068" max="14068" width="4.09765625" style="1" customWidth="1"/>
    <col min="14069" max="14069" width="19.19921875" style="1" customWidth="1"/>
    <col min="14070" max="14070" width="25.09765625" style="1" customWidth="1"/>
    <col min="14071" max="14071" width="9.3984375" style="1" customWidth="1"/>
    <col min="14072" max="14072" width="9.8984375" style="1" bestFit="1" customWidth="1"/>
    <col min="14073" max="14073" width="9.09765625" style="1" customWidth="1"/>
    <col min="14074" max="14074" width="10.69921875" style="1" customWidth="1"/>
    <col min="14075" max="14075" width="9.5" style="1" customWidth="1"/>
    <col min="14076" max="14076" width="10.19921875" style="1" customWidth="1"/>
    <col min="14077" max="14077" width="9" style="1" customWidth="1"/>
    <col min="14078" max="14079" width="4.19921875" style="1" customWidth="1"/>
    <col min="14080" max="14080" width="8.59765625" style="1" customWidth="1"/>
    <col min="14081" max="14081" width="4.19921875" style="1" customWidth="1"/>
    <col min="14082" max="14082" width="11.59765625" style="1" customWidth="1"/>
    <col min="14083" max="14322" width="8.69921875" style="1"/>
    <col min="14323" max="14323" width="3.8984375" style="1" customWidth="1"/>
    <col min="14324" max="14324" width="4.09765625" style="1" customWidth="1"/>
    <col min="14325" max="14325" width="19.19921875" style="1" customWidth="1"/>
    <col min="14326" max="14326" width="25.09765625" style="1" customWidth="1"/>
    <col min="14327" max="14327" width="9.3984375" style="1" customWidth="1"/>
    <col min="14328" max="14328" width="9.8984375" style="1" bestFit="1" customWidth="1"/>
    <col min="14329" max="14329" width="9.09765625" style="1" customWidth="1"/>
    <col min="14330" max="14330" width="10.69921875" style="1" customWidth="1"/>
    <col min="14331" max="14331" width="9.5" style="1" customWidth="1"/>
    <col min="14332" max="14332" width="10.19921875" style="1" customWidth="1"/>
    <col min="14333" max="14333" width="9" style="1" customWidth="1"/>
    <col min="14334" max="14335" width="4.19921875" style="1" customWidth="1"/>
    <col min="14336" max="14336" width="8.59765625" style="1" customWidth="1"/>
    <col min="14337" max="14337" width="4.19921875" style="1" customWidth="1"/>
    <col min="14338" max="14338" width="11.59765625" style="1" customWidth="1"/>
    <col min="14339" max="14578" width="8.69921875" style="1"/>
    <col min="14579" max="14579" width="3.8984375" style="1" customWidth="1"/>
    <col min="14580" max="14580" width="4.09765625" style="1" customWidth="1"/>
    <col min="14581" max="14581" width="19.19921875" style="1" customWidth="1"/>
    <col min="14582" max="14582" width="25.09765625" style="1" customWidth="1"/>
    <col min="14583" max="14583" width="9.3984375" style="1" customWidth="1"/>
    <col min="14584" max="14584" width="9.8984375" style="1" bestFit="1" customWidth="1"/>
    <col min="14585" max="14585" width="9.09765625" style="1" customWidth="1"/>
    <col min="14586" max="14586" width="10.69921875" style="1" customWidth="1"/>
    <col min="14587" max="14587" width="9.5" style="1" customWidth="1"/>
    <col min="14588" max="14588" width="10.19921875" style="1" customWidth="1"/>
    <col min="14589" max="14589" width="9" style="1" customWidth="1"/>
    <col min="14590" max="14591" width="4.19921875" style="1" customWidth="1"/>
    <col min="14592" max="14592" width="8.59765625" style="1" customWidth="1"/>
    <col min="14593" max="14593" width="4.19921875" style="1" customWidth="1"/>
    <col min="14594" max="14594" width="11.59765625" style="1" customWidth="1"/>
    <col min="14595" max="14834" width="8.69921875" style="1"/>
    <col min="14835" max="14835" width="3.8984375" style="1" customWidth="1"/>
    <col min="14836" max="14836" width="4.09765625" style="1" customWidth="1"/>
    <col min="14837" max="14837" width="19.19921875" style="1" customWidth="1"/>
    <col min="14838" max="14838" width="25.09765625" style="1" customWidth="1"/>
    <col min="14839" max="14839" width="9.3984375" style="1" customWidth="1"/>
    <col min="14840" max="14840" width="9.8984375" style="1" bestFit="1" customWidth="1"/>
    <col min="14841" max="14841" width="9.09765625" style="1" customWidth="1"/>
    <col min="14842" max="14842" width="10.69921875" style="1" customWidth="1"/>
    <col min="14843" max="14843" width="9.5" style="1" customWidth="1"/>
    <col min="14844" max="14844" width="10.19921875" style="1" customWidth="1"/>
    <col min="14845" max="14845" width="9" style="1" customWidth="1"/>
    <col min="14846" max="14847" width="4.19921875" style="1" customWidth="1"/>
    <col min="14848" max="14848" width="8.59765625" style="1" customWidth="1"/>
    <col min="14849" max="14849" width="4.19921875" style="1" customWidth="1"/>
    <col min="14850" max="14850" width="11.59765625" style="1" customWidth="1"/>
    <col min="14851" max="15090" width="8.69921875" style="1"/>
    <col min="15091" max="15091" width="3.8984375" style="1" customWidth="1"/>
    <col min="15092" max="15092" width="4.09765625" style="1" customWidth="1"/>
    <col min="15093" max="15093" width="19.19921875" style="1" customWidth="1"/>
    <col min="15094" max="15094" width="25.09765625" style="1" customWidth="1"/>
    <col min="15095" max="15095" width="9.3984375" style="1" customWidth="1"/>
    <col min="15096" max="15096" width="9.8984375" style="1" bestFit="1" customWidth="1"/>
    <col min="15097" max="15097" width="9.09765625" style="1" customWidth="1"/>
    <col min="15098" max="15098" width="10.69921875" style="1" customWidth="1"/>
    <col min="15099" max="15099" width="9.5" style="1" customWidth="1"/>
    <col min="15100" max="15100" width="10.19921875" style="1" customWidth="1"/>
    <col min="15101" max="15101" width="9" style="1" customWidth="1"/>
    <col min="15102" max="15103" width="4.19921875" style="1" customWidth="1"/>
    <col min="15104" max="15104" width="8.59765625" style="1" customWidth="1"/>
    <col min="15105" max="15105" width="4.19921875" style="1" customWidth="1"/>
    <col min="15106" max="15106" width="11.59765625" style="1" customWidth="1"/>
    <col min="15107" max="15346" width="8.69921875" style="1"/>
    <col min="15347" max="15347" width="3.8984375" style="1" customWidth="1"/>
    <col min="15348" max="15348" width="4.09765625" style="1" customWidth="1"/>
    <col min="15349" max="15349" width="19.19921875" style="1" customWidth="1"/>
    <col min="15350" max="15350" width="25.09765625" style="1" customWidth="1"/>
    <col min="15351" max="15351" width="9.3984375" style="1" customWidth="1"/>
    <col min="15352" max="15352" width="9.8984375" style="1" bestFit="1" customWidth="1"/>
    <col min="15353" max="15353" width="9.09765625" style="1" customWidth="1"/>
    <col min="15354" max="15354" width="10.69921875" style="1" customWidth="1"/>
    <col min="15355" max="15355" width="9.5" style="1" customWidth="1"/>
    <col min="15356" max="15356" width="10.19921875" style="1" customWidth="1"/>
    <col min="15357" max="15357" width="9" style="1" customWidth="1"/>
    <col min="15358" max="15359" width="4.19921875" style="1" customWidth="1"/>
    <col min="15360" max="15360" width="8.59765625" style="1" customWidth="1"/>
    <col min="15361" max="15361" width="4.19921875" style="1" customWidth="1"/>
    <col min="15362" max="15362" width="11.59765625" style="1" customWidth="1"/>
    <col min="15363" max="15602" width="8.69921875" style="1"/>
    <col min="15603" max="15603" width="3.8984375" style="1" customWidth="1"/>
    <col min="15604" max="15604" width="4.09765625" style="1" customWidth="1"/>
    <col min="15605" max="15605" width="19.19921875" style="1" customWidth="1"/>
    <col min="15606" max="15606" width="25.09765625" style="1" customWidth="1"/>
    <col min="15607" max="15607" width="9.3984375" style="1" customWidth="1"/>
    <col min="15608" max="15608" width="9.8984375" style="1" bestFit="1" customWidth="1"/>
    <col min="15609" max="15609" width="9.09765625" style="1" customWidth="1"/>
    <col min="15610" max="15610" width="10.69921875" style="1" customWidth="1"/>
    <col min="15611" max="15611" width="9.5" style="1" customWidth="1"/>
    <col min="15612" max="15612" width="10.19921875" style="1" customWidth="1"/>
    <col min="15613" max="15613" width="9" style="1" customWidth="1"/>
    <col min="15614" max="15615" width="4.19921875" style="1" customWidth="1"/>
    <col min="15616" max="15616" width="8.59765625" style="1" customWidth="1"/>
    <col min="15617" max="15617" width="4.19921875" style="1" customWidth="1"/>
    <col min="15618" max="15618" width="11.59765625" style="1" customWidth="1"/>
    <col min="15619" max="15858" width="8.69921875" style="1"/>
    <col min="15859" max="15859" width="3.8984375" style="1" customWidth="1"/>
    <col min="15860" max="15860" width="4.09765625" style="1" customWidth="1"/>
    <col min="15861" max="15861" width="19.19921875" style="1" customWidth="1"/>
    <col min="15862" max="15862" width="25.09765625" style="1" customWidth="1"/>
    <col min="15863" max="15863" width="9.3984375" style="1" customWidth="1"/>
    <col min="15864" max="15864" width="9.8984375" style="1" bestFit="1" customWidth="1"/>
    <col min="15865" max="15865" width="9.09765625" style="1" customWidth="1"/>
    <col min="15866" max="15866" width="10.69921875" style="1" customWidth="1"/>
    <col min="15867" max="15867" width="9.5" style="1" customWidth="1"/>
    <col min="15868" max="15868" width="10.19921875" style="1" customWidth="1"/>
    <col min="15869" max="15869" width="9" style="1" customWidth="1"/>
    <col min="15870" max="15871" width="4.19921875" style="1" customWidth="1"/>
    <col min="15872" max="15872" width="8.59765625" style="1" customWidth="1"/>
    <col min="15873" max="15873" width="4.19921875" style="1" customWidth="1"/>
    <col min="15874" max="15874" width="11.59765625" style="1" customWidth="1"/>
    <col min="15875" max="16114" width="8.69921875" style="1"/>
    <col min="16115" max="16115" width="3.8984375" style="1" customWidth="1"/>
    <col min="16116" max="16116" width="4.09765625" style="1" customWidth="1"/>
    <col min="16117" max="16117" width="19.19921875" style="1" customWidth="1"/>
    <col min="16118" max="16118" width="25.09765625" style="1" customWidth="1"/>
    <col min="16119" max="16119" width="9.3984375" style="1" customWidth="1"/>
    <col min="16120" max="16120" width="9.8984375" style="1" bestFit="1" customWidth="1"/>
    <col min="16121" max="16121" width="9.09765625" style="1" customWidth="1"/>
    <col min="16122" max="16122" width="10.69921875" style="1" customWidth="1"/>
    <col min="16123" max="16123" width="9.5" style="1" customWidth="1"/>
    <col min="16124" max="16124" width="10.19921875" style="1" customWidth="1"/>
    <col min="16125" max="16125" width="9" style="1" customWidth="1"/>
    <col min="16126" max="16127" width="4.19921875" style="1" customWidth="1"/>
    <col min="16128" max="16128" width="8.59765625" style="1" customWidth="1"/>
    <col min="16129" max="16129" width="4.19921875" style="1" customWidth="1"/>
    <col min="16130" max="16130" width="11.59765625" style="1" customWidth="1"/>
    <col min="16131" max="16371" width="8.69921875" style="1"/>
    <col min="16372" max="16384" width="8.69921875" style="1" customWidth="1"/>
  </cols>
  <sheetData>
    <row r="1" spans="1:11" x14ac:dyDescent="0.25">
      <c r="A1" s="117" t="s">
        <v>0</v>
      </c>
      <c r="B1" s="117"/>
      <c r="C1" s="117"/>
      <c r="F1" s="252" t="s">
        <v>1</v>
      </c>
      <c r="G1" s="252"/>
      <c r="H1" s="49" t="str">
        <f>DG!H1</f>
        <v>22/2023</v>
      </c>
    </row>
    <row r="2" spans="1:11" ht="11.1" customHeight="1" x14ac:dyDescent="0.25">
      <c r="A2" s="256"/>
      <c r="B2" s="256"/>
      <c r="C2" s="256"/>
    </row>
    <row r="3" spans="1:11" ht="11.1" customHeight="1" x14ac:dyDescent="0.25">
      <c r="A3" s="253" t="s">
        <v>2</v>
      </c>
      <c r="B3" s="253"/>
      <c r="C3" s="253"/>
      <c r="D3" s="253"/>
      <c r="E3" s="253"/>
      <c r="F3" s="253"/>
      <c r="G3" s="253"/>
      <c r="H3" s="253"/>
      <c r="I3" s="253"/>
      <c r="J3" s="63" t="s">
        <v>3</v>
      </c>
      <c r="K3" s="64">
        <v>0.19</v>
      </c>
    </row>
    <row r="4" spans="1:11" ht="11.1" customHeight="1" x14ac:dyDescent="0.25">
      <c r="A4" s="254" t="s">
        <v>4</v>
      </c>
      <c r="B4" s="254"/>
      <c r="C4" s="254"/>
      <c r="D4" s="254"/>
      <c r="E4" s="254"/>
      <c r="F4" s="254"/>
      <c r="G4" s="254"/>
      <c r="H4" s="254"/>
      <c r="I4" s="254"/>
    </row>
    <row r="5" spans="1:11" s="2" customFormat="1" ht="15.6" x14ac:dyDescent="0.3">
      <c r="A5" s="255" t="str">
        <f>DG!A5</f>
        <v>Modernizare si integrare in SCADA statii de transformare  din gestiunea Delgaz Grid – Etapa 4</v>
      </c>
      <c r="B5" s="255"/>
      <c r="C5" s="255"/>
      <c r="D5" s="255"/>
      <c r="E5" s="255"/>
      <c r="F5" s="255"/>
      <c r="G5" s="255"/>
      <c r="H5" s="255"/>
      <c r="I5" s="255"/>
    </row>
    <row r="6" spans="1:11" s="2" customFormat="1" ht="15.6" x14ac:dyDescent="0.3">
      <c r="A6" s="255" t="str">
        <f>DG!D85</f>
        <v>Statia 110/6 kV Radiatoare, jud. SV</v>
      </c>
      <c r="B6" s="255"/>
      <c r="C6" s="255"/>
      <c r="D6" s="255"/>
      <c r="E6" s="255"/>
      <c r="F6" s="255"/>
      <c r="G6" s="255"/>
      <c r="H6" s="255"/>
      <c r="I6" s="255"/>
    </row>
    <row r="7" spans="1:11" ht="11.1" customHeight="1" x14ac:dyDescent="0.25">
      <c r="C7" s="235" t="s">
        <v>5</v>
      </c>
      <c r="D7" s="235"/>
      <c r="E7" s="65">
        <f>DG!E6</f>
        <v>45139</v>
      </c>
      <c r="F7" s="2">
        <f>DG!F6</f>
        <v>4.9307999999999996</v>
      </c>
      <c r="G7" s="3" t="s">
        <v>6</v>
      </c>
      <c r="H7" s="4"/>
    </row>
    <row r="8" spans="1:11" ht="14.25" customHeight="1" x14ac:dyDescent="0.25">
      <c r="A8" s="236" t="s">
        <v>7</v>
      </c>
      <c r="B8" s="236"/>
      <c r="C8" s="236"/>
      <c r="D8" s="5"/>
      <c r="H8" s="206" t="str">
        <f>DG!H7</f>
        <v>Scenariul 1</v>
      </c>
      <c r="I8" s="206"/>
      <c r="J8" s="6" t="s">
        <v>9</v>
      </c>
    </row>
    <row r="9" spans="1:11" ht="12" customHeight="1" x14ac:dyDescent="0.25">
      <c r="A9" s="40"/>
      <c r="B9" s="237" t="s">
        <v>10</v>
      </c>
      <c r="C9" s="238"/>
      <c r="D9" s="238"/>
      <c r="E9" s="237" t="s">
        <v>11</v>
      </c>
      <c r="F9" s="239"/>
      <c r="G9" s="237" t="s">
        <v>12</v>
      </c>
      <c r="H9" s="258" t="s">
        <v>13</v>
      </c>
      <c r="I9" s="238"/>
    </row>
    <row r="10" spans="1:11" ht="12" customHeight="1" x14ac:dyDescent="0.25">
      <c r="A10" s="40" t="s">
        <v>14</v>
      </c>
      <c r="B10" s="238"/>
      <c r="C10" s="238"/>
      <c r="D10" s="238"/>
      <c r="E10" s="239"/>
      <c r="F10" s="239"/>
      <c r="G10" s="239"/>
      <c r="H10" s="238"/>
      <c r="I10" s="238"/>
    </row>
    <row r="11" spans="1:11" ht="11.1" customHeight="1" x14ac:dyDescent="0.25">
      <c r="A11" s="40" t="s">
        <v>15</v>
      </c>
      <c r="B11" s="238"/>
      <c r="C11" s="238"/>
      <c r="D11" s="238"/>
      <c r="E11" s="239"/>
      <c r="F11" s="239"/>
      <c r="G11" s="239"/>
      <c r="H11" s="259" t="s">
        <v>16</v>
      </c>
      <c r="I11" s="259"/>
      <c r="J11" s="7"/>
    </row>
    <row r="12" spans="1:11" ht="11.1" customHeight="1" x14ac:dyDescent="0.25">
      <c r="A12" s="40"/>
      <c r="B12" s="238"/>
      <c r="C12" s="238"/>
      <c r="D12" s="238"/>
      <c r="E12" s="16" t="s">
        <v>17</v>
      </c>
      <c r="F12" s="16" t="s">
        <v>18</v>
      </c>
      <c r="G12" s="16" t="s">
        <v>17</v>
      </c>
      <c r="H12" s="16" t="s">
        <v>17</v>
      </c>
      <c r="I12" s="16" t="s">
        <v>18</v>
      </c>
    </row>
    <row r="13" spans="1:11" ht="11.1" customHeight="1" x14ac:dyDescent="0.25">
      <c r="A13" s="40">
        <v>1</v>
      </c>
      <c r="B13" s="251">
        <v>2</v>
      </c>
      <c r="C13" s="251"/>
      <c r="D13" s="251"/>
      <c r="E13" s="16">
        <v>3</v>
      </c>
      <c r="F13" s="16">
        <v>4</v>
      </c>
      <c r="G13" s="16">
        <v>5</v>
      </c>
      <c r="H13" s="16">
        <v>6</v>
      </c>
      <c r="I13" s="16">
        <v>7</v>
      </c>
    </row>
    <row r="14" spans="1:11" ht="11.1" customHeight="1" x14ac:dyDescent="0.25">
      <c r="A14" s="39"/>
      <c r="B14" s="15"/>
      <c r="C14" s="240" t="s">
        <v>19</v>
      </c>
      <c r="D14" s="241"/>
      <c r="E14" s="17"/>
      <c r="F14" s="8"/>
      <c r="G14" s="8"/>
      <c r="H14" s="17"/>
      <c r="I14" s="17"/>
    </row>
    <row r="15" spans="1:11" ht="11.1" customHeight="1" x14ac:dyDescent="0.25">
      <c r="A15" s="39"/>
      <c r="B15" s="246" t="s">
        <v>20</v>
      </c>
      <c r="C15" s="247"/>
      <c r="D15" s="248"/>
      <c r="E15" s="19"/>
      <c r="F15" s="9"/>
      <c r="G15" s="9"/>
      <c r="H15" s="19"/>
      <c r="I15" s="19"/>
    </row>
    <row r="16" spans="1:11" ht="11.1" customHeight="1" x14ac:dyDescent="0.25">
      <c r="A16" s="41" t="s">
        <v>21</v>
      </c>
      <c r="B16" s="15"/>
      <c r="C16" s="227" t="s">
        <v>22</v>
      </c>
      <c r="D16" s="228"/>
      <c r="E16" s="8">
        <v>0</v>
      </c>
      <c r="F16" s="8">
        <f>E16/F7</f>
        <v>0</v>
      </c>
      <c r="G16" s="8">
        <f t="shared" ref="G16" si="0">E16*0.19</f>
        <v>0</v>
      </c>
      <c r="H16" s="8">
        <f>E16+G16</f>
        <v>0</v>
      </c>
      <c r="I16" s="8">
        <f t="shared" ref="I16" si="1">H16/$F$7</f>
        <v>0</v>
      </c>
      <c r="K16" s="32"/>
    </row>
    <row r="17" spans="1:9" ht="11.1" customHeight="1" x14ac:dyDescent="0.25">
      <c r="A17" s="44" t="s">
        <v>23</v>
      </c>
      <c r="B17" s="55"/>
      <c r="C17" s="242" t="s">
        <v>24</v>
      </c>
      <c r="D17" s="243"/>
      <c r="E17" s="9">
        <f>'(7)F1 RV'!C15</f>
        <v>0</v>
      </c>
      <c r="F17" s="9">
        <f t="shared" ref="F17:F23" si="2">ROUND(E17/$F$7,2)</f>
        <v>0</v>
      </c>
      <c r="G17" s="9">
        <f t="shared" ref="G17:G23" si="3">ROUND(E17*$K$3,2)</f>
        <v>0</v>
      </c>
      <c r="H17" s="9">
        <f t="shared" ref="H17:H23" si="4">E17+G17</f>
        <v>0</v>
      </c>
      <c r="I17" s="9">
        <f t="shared" ref="I17:I23" si="5">ROUND(G17/$F$7,2)+F17</f>
        <v>0</v>
      </c>
    </row>
    <row r="18" spans="1:9" ht="11.1" customHeight="1" x14ac:dyDescent="0.25">
      <c r="A18" s="44"/>
      <c r="B18" s="55"/>
      <c r="C18" s="272" t="s">
        <v>682</v>
      </c>
      <c r="D18" s="273"/>
      <c r="E18" s="8">
        <f>'(7)F1 RV'!H17</f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</row>
    <row r="19" spans="1:9" ht="11.1" customHeight="1" x14ac:dyDescent="0.25">
      <c r="A19" s="44"/>
      <c r="B19" s="55"/>
      <c r="C19" s="268" t="s">
        <v>1763</v>
      </c>
      <c r="D19" s="269"/>
      <c r="E19" s="8">
        <f>'(7)F1 RV'!H18</f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</row>
    <row r="20" spans="1:9" ht="11.1" customHeight="1" x14ac:dyDescent="0.25">
      <c r="A20" s="44"/>
      <c r="B20" s="55"/>
      <c r="C20" s="268" t="s">
        <v>684</v>
      </c>
      <c r="D20" s="269"/>
      <c r="E20" s="8">
        <f>'(7)F1 RV'!H19</f>
        <v>0</v>
      </c>
      <c r="F20" s="8">
        <f t="shared" ref="F20:F21" si="6">ROUND(E20/$F$7,2)</f>
        <v>0</v>
      </c>
      <c r="G20" s="8">
        <f t="shared" ref="G20:G21" si="7">ROUND(E20*$K$3,2)</f>
        <v>0</v>
      </c>
      <c r="H20" s="8">
        <f t="shared" ref="H20:H21" si="8">E20+G20</f>
        <v>0</v>
      </c>
      <c r="I20" s="8">
        <f t="shared" ref="I20:I21" si="9">ROUND(G20/$F$7,2)+F20</f>
        <v>0</v>
      </c>
    </row>
    <row r="21" spans="1:9" ht="11.1" customHeight="1" x14ac:dyDescent="0.25">
      <c r="A21" s="44"/>
      <c r="B21" s="55"/>
      <c r="C21" s="272" t="s">
        <v>685</v>
      </c>
      <c r="D21" s="273"/>
      <c r="E21" s="8">
        <f>'(7)F1 RV'!H20</f>
        <v>0</v>
      </c>
      <c r="F21" s="8">
        <f t="shared" si="6"/>
        <v>0</v>
      </c>
      <c r="G21" s="8">
        <f t="shared" si="7"/>
        <v>0</v>
      </c>
      <c r="H21" s="8">
        <f t="shared" si="8"/>
        <v>0</v>
      </c>
      <c r="I21" s="8">
        <f t="shared" si="9"/>
        <v>0</v>
      </c>
    </row>
    <row r="22" spans="1:9" ht="11.1" customHeight="1" x14ac:dyDescent="0.25">
      <c r="A22" s="44" t="s">
        <v>39</v>
      </c>
      <c r="B22" s="115"/>
      <c r="C22" s="55" t="s">
        <v>40</v>
      </c>
      <c r="D22" s="55"/>
      <c r="E22" s="9">
        <f>'(7)F1 RV'!C36</f>
        <v>0</v>
      </c>
      <c r="F22" s="9">
        <f>SUM(F23)</f>
        <v>0</v>
      </c>
      <c r="G22" s="9">
        <f t="shared" ref="G22:I22" si="10">SUM(G23)</f>
        <v>0</v>
      </c>
      <c r="H22" s="9">
        <f t="shared" si="10"/>
        <v>0</v>
      </c>
      <c r="I22" s="9">
        <f t="shared" si="10"/>
        <v>0</v>
      </c>
    </row>
    <row r="23" spans="1:9" ht="11.1" customHeight="1" x14ac:dyDescent="0.25">
      <c r="A23" s="44"/>
      <c r="B23" s="115"/>
      <c r="C23" s="272" t="str">
        <f>'(7)F1 RV'!B38</f>
        <v>LUCRARI DE PROTECTIA MEDIULUI</v>
      </c>
      <c r="D23" s="273"/>
      <c r="E23" s="8">
        <f>'(7)F1 RV'!C38</f>
        <v>0</v>
      </c>
      <c r="F23" s="8">
        <f t="shared" si="2"/>
        <v>0</v>
      </c>
      <c r="G23" s="8">
        <f t="shared" si="3"/>
        <v>0</v>
      </c>
      <c r="H23" s="8">
        <f t="shared" si="4"/>
        <v>0</v>
      </c>
      <c r="I23" s="8">
        <f t="shared" si="5"/>
        <v>0</v>
      </c>
    </row>
    <row r="24" spans="1:9" ht="11.1" customHeight="1" x14ac:dyDescent="0.25">
      <c r="A24" s="39">
        <v>1.4</v>
      </c>
      <c r="B24" s="15"/>
      <c r="C24" s="15" t="s">
        <v>48</v>
      </c>
      <c r="D24" s="15"/>
      <c r="E24" s="8">
        <v>0</v>
      </c>
      <c r="F24" s="8">
        <f t="shared" ref="F24" si="11">ROUND(E24/$F$7,2)</f>
        <v>0</v>
      </c>
      <c r="G24" s="8">
        <f t="shared" ref="G24" si="12">ROUND(E24*$K$3,2)</f>
        <v>0</v>
      </c>
      <c r="H24" s="8">
        <f t="shared" ref="H24" si="13">E24+G24</f>
        <v>0</v>
      </c>
      <c r="I24" s="8">
        <f t="shared" ref="I24" si="14">ROUND(G24/$F$7,2)+F24</f>
        <v>0</v>
      </c>
    </row>
    <row r="25" spans="1:9" ht="11.1" customHeight="1" x14ac:dyDescent="0.25">
      <c r="A25" s="42"/>
      <c r="B25" s="25"/>
      <c r="C25" s="215" t="s">
        <v>49</v>
      </c>
      <c r="D25" s="216"/>
      <c r="E25" s="26">
        <f>E16+E17+E22+E24</f>
        <v>0</v>
      </c>
      <c r="F25" s="26">
        <f t="shared" ref="F25:I25" si="15">F16+F17+F22+F24</f>
        <v>0</v>
      </c>
      <c r="G25" s="26">
        <f t="shared" si="15"/>
        <v>0</v>
      </c>
      <c r="H25" s="26">
        <f t="shared" si="15"/>
        <v>0</v>
      </c>
      <c r="I25" s="26">
        <f t="shared" si="15"/>
        <v>0</v>
      </c>
    </row>
    <row r="26" spans="1:9" ht="11.1" customHeight="1" x14ac:dyDescent="0.25">
      <c r="A26" s="39"/>
      <c r="B26" s="246" t="s">
        <v>50</v>
      </c>
      <c r="C26" s="247"/>
      <c r="D26" s="248"/>
      <c r="E26" s="9"/>
      <c r="F26" s="8"/>
      <c r="G26" s="8"/>
      <c r="H26" s="9"/>
      <c r="I26" s="8"/>
    </row>
    <row r="27" spans="1:9" ht="11.1" customHeight="1" x14ac:dyDescent="0.25">
      <c r="A27" s="39">
        <v>2.1</v>
      </c>
      <c r="B27" s="18"/>
      <c r="C27" s="245" t="s">
        <v>51</v>
      </c>
      <c r="D27" s="245"/>
      <c r="E27" s="8">
        <v>0</v>
      </c>
      <c r="F27" s="8">
        <f t="shared" ref="F27" si="16">ROUND(E27/$F$7,2)</f>
        <v>0</v>
      </c>
      <c r="G27" s="8">
        <f t="shared" ref="G27" si="17">ROUND(E27*$K$3,2)</f>
        <v>0</v>
      </c>
      <c r="H27" s="8">
        <f t="shared" ref="H27" si="18">E27+G27</f>
        <v>0</v>
      </c>
      <c r="I27" s="8">
        <f t="shared" ref="I27" si="19">ROUND(G27/$F$7,2)+F27</f>
        <v>0</v>
      </c>
    </row>
    <row r="28" spans="1:9" ht="11.1" customHeight="1" x14ac:dyDescent="0.25">
      <c r="A28" s="43"/>
      <c r="B28" s="57"/>
      <c r="C28" s="244" t="s">
        <v>52</v>
      </c>
      <c r="D28" s="244"/>
      <c r="E28" s="26">
        <f>E27</f>
        <v>0</v>
      </c>
      <c r="F28" s="26">
        <f t="shared" ref="F28:I28" si="20">F27</f>
        <v>0</v>
      </c>
      <c r="G28" s="26">
        <f t="shared" si="20"/>
        <v>0</v>
      </c>
      <c r="H28" s="26">
        <f t="shared" si="20"/>
        <v>0</v>
      </c>
      <c r="I28" s="26">
        <f t="shared" si="20"/>
        <v>0</v>
      </c>
    </row>
    <row r="29" spans="1:9" ht="11.1" customHeight="1" x14ac:dyDescent="0.25">
      <c r="A29" s="39"/>
      <c r="B29" s="249" t="s">
        <v>53</v>
      </c>
      <c r="C29" s="249"/>
      <c r="D29" s="249"/>
      <c r="E29" s="9"/>
      <c r="F29" s="8"/>
      <c r="G29" s="9"/>
      <c r="H29" s="9"/>
      <c r="I29" s="8"/>
    </row>
    <row r="30" spans="1:9" ht="11.1" customHeight="1" x14ac:dyDescent="0.25">
      <c r="A30" s="44" t="s">
        <v>54</v>
      </c>
      <c r="B30" s="55"/>
      <c r="C30" s="250" t="s">
        <v>55</v>
      </c>
      <c r="D30" s="250"/>
      <c r="E30" s="27">
        <f>SUM(E31:E33)</f>
        <v>0</v>
      </c>
      <c r="F30" s="27">
        <f t="shared" ref="F30:I30" si="21">SUM(F31:F33)</f>
        <v>0</v>
      </c>
      <c r="G30" s="27">
        <f t="shared" si="21"/>
        <v>0</v>
      </c>
      <c r="H30" s="27">
        <f t="shared" si="21"/>
        <v>0</v>
      </c>
      <c r="I30" s="27">
        <f t="shared" si="21"/>
        <v>0</v>
      </c>
    </row>
    <row r="31" spans="1:9" ht="11.1" customHeight="1" x14ac:dyDescent="0.25">
      <c r="A31" s="39"/>
      <c r="B31" s="113" t="s">
        <v>56</v>
      </c>
      <c r="C31" s="225" t="s">
        <v>57</v>
      </c>
      <c r="D31" s="225"/>
      <c r="E31" s="23">
        <v>0</v>
      </c>
      <c r="F31" s="8">
        <f t="shared" ref="F31:F36" si="22">ROUND(E31/$F$7,2)</f>
        <v>0</v>
      </c>
      <c r="G31" s="8">
        <f t="shared" ref="G31:G36" si="23">ROUND(E31*$K$3,2)</f>
        <v>0</v>
      </c>
      <c r="H31" s="8">
        <f t="shared" ref="H31:H36" si="24">E31+G31</f>
        <v>0</v>
      </c>
      <c r="I31" s="8">
        <f t="shared" ref="I31:I36" si="25">ROUND(G31/$F$7,2)+F31</f>
        <v>0</v>
      </c>
    </row>
    <row r="32" spans="1:9" ht="11.1" customHeight="1" x14ac:dyDescent="0.25">
      <c r="A32" s="39"/>
      <c r="B32" s="113" t="s">
        <v>58</v>
      </c>
      <c r="C32" s="225" t="s">
        <v>59</v>
      </c>
      <c r="D32" s="225"/>
      <c r="E32" s="23">
        <v>0</v>
      </c>
      <c r="F32" s="8">
        <f t="shared" si="22"/>
        <v>0</v>
      </c>
      <c r="G32" s="8">
        <f t="shared" si="23"/>
        <v>0</v>
      </c>
      <c r="H32" s="8">
        <f t="shared" si="24"/>
        <v>0</v>
      </c>
      <c r="I32" s="8">
        <f t="shared" si="25"/>
        <v>0</v>
      </c>
    </row>
    <row r="33" spans="1:10" ht="11.1" customHeight="1" x14ac:dyDescent="0.25">
      <c r="A33" s="39"/>
      <c r="B33" s="113" t="s">
        <v>60</v>
      </c>
      <c r="C33" s="226" t="s">
        <v>61</v>
      </c>
      <c r="D33" s="226"/>
      <c r="E33" s="24">
        <v>0</v>
      </c>
      <c r="F33" s="8">
        <f t="shared" si="22"/>
        <v>0</v>
      </c>
      <c r="G33" s="8">
        <f t="shared" si="23"/>
        <v>0</v>
      </c>
      <c r="H33" s="8">
        <f t="shared" si="24"/>
        <v>0</v>
      </c>
      <c r="I33" s="8">
        <f t="shared" si="25"/>
        <v>0</v>
      </c>
    </row>
    <row r="34" spans="1:10" ht="22.2" customHeight="1" x14ac:dyDescent="0.25">
      <c r="A34" s="39" t="s">
        <v>62</v>
      </c>
      <c r="B34" s="15"/>
      <c r="C34" s="260" t="s">
        <v>63</v>
      </c>
      <c r="D34" s="260"/>
      <c r="E34" s="8">
        <v>0</v>
      </c>
      <c r="F34" s="8">
        <f t="shared" si="22"/>
        <v>0</v>
      </c>
      <c r="G34" s="8">
        <f t="shared" si="23"/>
        <v>0</v>
      </c>
      <c r="H34" s="8">
        <f t="shared" si="24"/>
        <v>0</v>
      </c>
      <c r="I34" s="8">
        <f t="shared" si="25"/>
        <v>0</v>
      </c>
      <c r="J34" s="7"/>
    </row>
    <row r="35" spans="1:10" ht="11.1" customHeight="1" x14ac:dyDescent="0.25">
      <c r="A35" s="39" t="s">
        <v>64</v>
      </c>
      <c r="B35" s="15"/>
      <c r="C35" s="227" t="s">
        <v>65</v>
      </c>
      <c r="D35" s="228"/>
      <c r="E35" s="8">
        <v>0</v>
      </c>
      <c r="F35" s="8">
        <f t="shared" si="22"/>
        <v>0</v>
      </c>
      <c r="G35" s="8">
        <f t="shared" si="23"/>
        <v>0</v>
      </c>
      <c r="H35" s="8">
        <f t="shared" si="24"/>
        <v>0</v>
      </c>
      <c r="I35" s="8">
        <f t="shared" si="25"/>
        <v>0</v>
      </c>
      <c r="J35" s="7"/>
    </row>
    <row r="36" spans="1:10" x14ac:dyDescent="0.25">
      <c r="A36" s="39" t="s">
        <v>66</v>
      </c>
      <c r="B36" s="15"/>
      <c r="C36" s="260" t="s">
        <v>67</v>
      </c>
      <c r="D36" s="260"/>
      <c r="E36" s="8">
        <v>0</v>
      </c>
      <c r="F36" s="8">
        <f t="shared" si="22"/>
        <v>0</v>
      </c>
      <c r="G36" s="8">
        <f t="shared" si="23"/>
        <v>0</v>
      </c>
      <c r="H36" s="8">
        <f t="shared" si="24"/>
        <v>0</v>
      </c>
      <c r="I36" s="8">
        <f t="shared" si="25"/>
        <v>0</v>
      </c>
      <c r="J36" s="7"/>
    </row>
    <row r="37" spans="1:10" ht="11.1" customHeight="1" x14ac:dyDescent="0.25">
      <c r="A37" s="51" t="s">
        <v>68</v>
      </c>
      <c r="B37" s="212" t="s">
        <v>69</v>
      </c>
      <c r="C37" s="212"/>
      <c r="D37" s="212"/>
      <c r="E37" s="36">
        <f>SUM(E38:E43)</f>
        <v>0</v>
      </c>
      <c r="F37" s="36">
        <f t="shared" ref="F37:I37" si="26">SUM(F38:F43)</f>
        <v>0</v>
      </c>
      <c r="G37" s="36">
        <f t="shared" si="26"/>
        <v>0</v>
      </c>
      <c r="H37" s="36">
        <f t="shared" si="26"/>
        <v>0</v>
      </c>
      <c r="I37" s="36">
        <f t="shared" si="26"/>
        <v>0</v>
      </c>
      <c r="J37" s="7"/>
    </row>
    <row r="38" spans="1:10" ht="11.1" customHeight="1" x14ac:dyDescent="0.25">
      <c r="A38" s="50"/>
      <c r="B38" s="261" t="s">
        <v>70</v>
      </c>
      <c r="C38" s="262"/>
      <c r="D38" s="263"/>
      <c r="E38" s="33">
        <v>0</v>
      </c>
      <c r="F38" s="8">
        <f t="shared" ref="F38:F44" si="27">ROUND(E38/$F$7,2)</f>
        <v>0</v>
      </c>
      <c r="G38" s="8">
        <f t="shared" ref="G38:G43" si="28">ROUND(E38*$K$3,2)</f>
        <v>0</v>
      </c>
      <c r="H38" s="8">
        <f t="shared" ref="H38:H44" si="29">E38+G38</f>
        <v>0</v>
      </c>
      <c r="I38" s="8">
        <f t="shared" ref="I38:I44" si="30">ROUND(G38/$F$7,2)+F38</f>
        <v>0</v>
      </c>
      <c r="J38" s="7"/>
    </row>
    <row r="39" spans="1:10" ht="11.1" customHeight="1" x14ac:dyDescent="0.25">
      <c r="A39" s="50"/>
      <c r="B39" s="213" t="s">
        <v>71</v>
      </c>
      <c r="C39" s="213"/>
      <c r="D39" s="213"/>
      <c r="E39" s="33">
        <v>0</v>
      </c>
      <c r="F39" s="8">
        <f t="shared" si="27"/>
        <v>0</v>
      </c>
      <c r="G39" s="8">
        <f t="shared" si="28"/>
        <v>0</v>
      </c>
      <c r="H39" s="8">
        <f t="shared" si="29"/>
        <v>0</v>
      </c>
      <c r="I39" s="8">
        <f t="shared" si="30"/>
        <v>0</v>
      </c>
      <c r="J39" s="7"/>
    </row>
    <row r="40" spans="1:10" ht="21.6" customHeight="1" x14ac:dyDescent="0.25">
      <c r="A40" s="50"/>
      <c r="B40" s="213" t="s">
        <v>72</v>
      </c>
      <c r="C40" s="213"/>
      <c r="D40" s="213"/>
      <c r="E40" s="33">
        <v>0</v>
      </c>
      <c r="F40" s="8">
        <f t="shared" si="27"/>
        <v>0</v>
      </c>
      <c r="G40" s="8">
        <f t="shared" si="28"/>
        <v>0</v>
      </c>
      <c r="H40" s="8">
        <f t="shared" si="29"/>
        <v>0</v>
      </c>
      <c r="I40" s="8">
        <f t="shared" si="30"/>
        <v>0</v>
      </c>
      <c r="J40" s="7"/>
    </row>
    <row r="41" spans="1:10" ht="26.4" customHeight="1" x14ac:dyDescent="0.25">
      <c r="A41" s="50"/>
      <c r="B41" s="213" t="s">
        <v>73</v>
      </c>
      <c r="C41" s="213"/>
      <c r="D41" s="213"/>
      <c r="E41" s="33">
        <v>0</v>
      </c>
      <c r="F41" s="8">
        <f t="shared" si="27"/>
        <v>0</v>
      </c>
      <c r="G41" s="8">
        <f t="shared" si="28"/>
        <v>0</v>
      </c>
      <c r="H41" s="8">
        <f t="shared" si="29"/>
        <v>0</v>
      </c>
      <c r="I41" s="8">
        <f t="shared" si="30"/>
        <v>0</v>
      </c>
      <c r="J41" s="7"/>
    </row>
    <row r="42" spans="1:10" ht="21.6" customHeight="1" x14ac:dyDescent="0.25">
      <c r="A42" s="50"/>
      <c r="B42" s="213" t="s">
        <v>74</v>
      </c>
      <c r="C42" s="213"/>
      <c r="D42" s="213"/>
      <c r="E42" s="33">
        <v>0</v>
      </c>
      <c r="F42" s="8">
        <f t="shared" si="27"/>
        <v>0</v>
      </c>
      <c r="G42" s="8">
        <f t="shared" si="28"/>
        <v>0</v>
      </c>
      <c r="H42" s="8">
        <f t="shared" si="29"/>
        <v>0</v>
      </c>
      <c r="I42" s="8">
        <f t="shared" si="30"/>
        <v>0</v>
      </c>
      <c r="J42" s="7"/>
    </row>
    <row r="43" spans="1:10" ht="11.1" customHeight="1" x14ac:dyDescent="0.25">
      <c r="A43" s="50"/>
      <c r="B43" s="213" t="s">
        <v>75</v>
      </c>
      <c r="C43" s="213"/>
      <c r="D43" s="213"/>
      <c r="E43" s="33">
        <f>ROUND(1%*E76,2)</f>
        <v>0</v>
      </c>
      <c r="F43" s="8">
        <f t="shared" si="27"/>
        <v>0</v>
      </c>
      <c r="G43" s="8">
        <f t="shared" si="28"/>
        <v>0</v>
      </c>
      <c r="H43" s="8">
        <f t="shared" si="29"/>
        <v>0</v>
      </c>
      <c r="I43" s="8">
        <f t="shared" si="30"/>
        <v>0</v>
      </c>
      <c r="J43" s="7"/>
    </row>
    <row r="44" spans="1:10" ht="11.1" customHeight="1" x14ac:dyDescent="0.25">
      <c r="A44" s="50" t="s">
        <v>76</v>
      </c>
      <c r="B44" s="208" t="s">
        <v>77</v>
      </c>
      <c r="C44" s="208"/>
      <c r="D44" s="208"/>
      <c r="E44" s="33">
        <f>ROUND(0.15%*E76,2)</f>
        <v>0</v>
      </c>
      <c r="F44" s="8">
        <f t="shared" si="27"/>
        <v>0</v>
      </c>
      <c r="G44" s="8">
        <v>0</v>
      </c>
      <c r="H44" s="8">
        <f t="shared" si="29"/>
        <v>0</v>
      </c>
      <c r="I44" s="8">
        <f t="shared" si="30"/>
        <v>0</v>
      </c>
      <c r="J44" s="7"/>
    </row>
    <row r="45" spans="1:10" ht="11.1" customHeight="1" x14ac:dyDescent="0.25">
      <c r="A45" s="51" t="s">
        <v>78</v>
      </c>
      <c r="B45" s="212" t="s">
        <v>79</v>
      </c>
      <c r="C45" s="212"/>
      <c r="D45" s="212"/>
      <c r="E45" s="36">
        <f>E46+E49</f>
        <v>0</v>
      </c>
      <c r="F45" s="36">
        <f>F46+F49</f>
        <v>0</v>
      </c>
      <c r="G45" s="36">
        <f>G46+G49</f>
        <v>0</v>
      </c>
      <c r="H45" s="36">
        <f>H46+H49</f>
        <v>0</v>
      </c>
      <c r="I45" s="36">
        <f>I46+I49</f>
        <v>0</v>
      </c>
      <c r="J45" s="7"/>
    </row>
    <row r="46" spans="1:10" s="32" customFormat="1" ht="11.1" customHeight="1" x14ac:dyDescent="0.25">
      <c r="A46" s="116"/>
      <c r="B46" s="229" t="s">
        <v>80</v>
      </c>
      <c r="C46" s="230"/>
      <c r="D46" s="230"/>
      <c r="E46" s="33">
        <f>E47+E48</f>
        <v>0</v>
      </c>
      <c r="F46" s="33">
        <f t="shared" ref="F46:I46" si="31">F47+F48</f>
        <v>0</v>
      </c>
      <c r="G46" s="33">
        <f t="shared" si="31"/>
        <v>0</v>
      </c>
      <c r="H46" s="33">
        <f t="shared" si="31"/>
        <v>0</v>
      </c>
      <c r="I46" s="33">
        <f t="shared" si="31"/>
        <v>0</v>
      </c>
      <c r="J46" s="61"/>
    </row>
    <row r="47" spans="1:10" s="32" customFormat="1" ht="11.1" customHeight="1" x14ac:dyDescent="0.25">
      <c r="A47" s="116"/>
      <c r="B47" s="107"/>
      <c r="C47" s="213" t="s">
        <v>81</v>
      </c>
      <c r="D47" s="214"/>
      <c r="E47" s="33">
        <v>0</v>
      </c>
      <c r="F47" s="8">
        <f t="shared" ref="F47:F48" si="32">ROUND(E47/$F$7,2)</f>
        <v>0</v>
      </c>
      <c r="G47" s="8">
        <v>0</v>
      </c>
      <c r="H47" s="8">
        <f t="shared" ref="H47:H48" si="33">E47+G47</f>
        <v>0</v>
      </c>
      <c r="I47" s="8">
        <f t="shared" ref="I47:I48" si="34">ROUND(G47/$F$7,2)+F47</f>
        <v>0</v>
      </c>
      <c r="J47" s="61"/>
    </row>
    <row r="48" spans="1:10" s="32" customFormat="1" ht="11.1" customHeight="1" x14ac:dyDescent="0.25">
      <c r="A48" s="116"/>
      <c r="B48" s="134"/>
      <c r="C48" s="213" t="s">
        <v>82</v>
      </c>
      <c r="D48" s="214"/>
      <c r="E48" s="33">
        <v>0</v>
      </c>
      <c r="F48" s="8">
        <f t="shared" si="32"/>
        <v>0</v>
      </c>
      <c r="G48" s="8">
        <f t="shared" ref="G48" si="35">ROUND(E48*$K$3,2)</f>
        <v>0</v>
      </c>
      <c r="H48" s="8">
        <f t="shared" si="33"/>
        <v>0</v>
      </c>
      <c r="I48" s="8">
        <f t="shared" si="34"/>
        <v>0</v>
      </c>
      <c r="J48" s="61"/>
    </row>
    <row r="49" spans="1:10" ht="11.1" customHeight="1" x14ac:dyDescent="0.25">
      <c r="A49" s="50"/>
      <c r="B49" s="213" t="s">
        <v>83</v>
      </c>
      <c r="C49" s="214"/>
      <c r="D49" s="214"/>
      <c r="E49" s="33">
        <v>0</v>
      </c>
      <c r="F49" s="8">
        <f t="shared" ref="F49" si="36">ROUND(E49/$F$7,2)</f>
        <v>0</v>
      </c>
      <c r="G49" s="8">
        <f t="shared" ref="G49" si="37">ROUND(E49*$K$3,2)</f>
        <v>0</v>
      </c>
      <c r="H49" s="8">
        <f t="shared" ref="H49" si="38">E49+G49</f>
        <v>0</v>
      </c>
      <c r="I49" s="8">
        <f t="shared" ref="I49" si="39">ROUND(G49/$F$7,2)+F49</f>
        <v>0</v>
      </c>
      <c r="J49" s="7"/>
    </row>
    <row r="50" spans="1:10" ht="11.1" customHeight="1" x14ac:dyDescent="0.25">
      <c r="A50" s="51" t="s">
        <v>84</v>
      </c>
      <c r="B50" s="212" t="s">
        <v>85</v>
      </c>
      <c r="C50" s="212"/>
      <c r="D50" s="212"/>
      <c r="E50" s="36">
        <f>E51+E54</f>
        <v>0</v>
      </c>
      <c r="F50" s="36">
        <f t="shared" ref="F50:I50" si="40">F51+F54</f>
        <v>0</v>
      </c>
      <c r="G50" s="36">
        <f t="shared" si="40"/>
        <v>0</v>
      </c>
      <c r="H50" s="36">
        <f t="shared" si="40"/>
        <v>0</v>
      </c>
      <c r="I50" s="36">
        <f t="shared" si="40"/>
        <v>0</v>
      </c>
      <c r="J50" s="7"/>
    </row>
    <row r="51" spans="1:10" ht="11.1" customHeight="1" x14ac:dyDescent="0.25">
      <c r="A51" s="51"/>
      <c r="B51" s="211" t="s">
        <v>86</v>
      </c>
      <c r="C51" s="212"/>
      <c r="D51" s="212"/>
      <c r="E51" s="36">
        <f>E53+E52</f>
        <v>0</v>
      </c>
      <c r="F51" s="36">
        <f t="shared" ref="F51:I51" si="41">F53+F52</f>
        <v>0</v>
      </c>
      <c r="G51" s="36">
        <f t="shared" si="41"/>
        <v>0</v>
      </c>
      <c r="H51" s="36">
        <f t="shared" si="41"/>
        <v>0</v>
      </c>
      <c r="I51" s="36">
        <f t="shared" si="41"/>
        <v>0</v>
      </c>
      <c r="J51" s="7"/>
    </row>
    <row r="52" spans="1:10" ht="11.1" customHeight="1" x14ac:dyDescent="0.25">
      <c r="A52" s="50"/>
      <c r="B52" s="207" t="s">
        <v>87</v>
      </c>
      <c r="C52" s="208"/>
      <c r="D52" s="208"/>
      <c r="E52" s="62">
        <v>0</v>
      </c>
      <c r="F52" s="8">
        <f t="shared" ref="F52:F54" si="42">ROUND(E52/$F$7,2)</f>
        <v>0</v>
      </c>
      <c r="G52" s="8">
        <f t="shared" ref="G52:G53" si="43">ROUND(E52*$K$3,2)</f>
        <v>0</v>
      </c>
      <c r="H52" s="8">
        <f t="shared" ref="H52:H54" si="44">E52+G52</f>
        <v>0</v>
      </c>
      <c r="I52" s="8">
        <f t="shared" ref="I52:I54" si="45">ROUND(G52/$F$7,2)+F52</f>
        <v>0</v>
      </c>
      <c r="J52" s="7"/>
    </row>
    <row r="53" spans="1:10" ht="22.5" customHeight="1" x14ac:dyDescent="0.25">
      <c r="A53" s="50"/>
      <c r="B53" s="207" t="s">
        <v>88</v>
      </c>
      <c r="C53" s="208"/>
      <c r="D53" s="208"/>
      <c r="E53" s="62">
        <v>0</v>
      </c>
      <c r="F53" s="8">
        <f t="shared" si="42"/>
        <v>0</v>
      </c>
      <c r="G53" s="8">
        <f t="shared" si="43"/>
        <v>0</v>
      </c>
      <c r="H53" s="8">
        <f t="shared" si="44"/>
        <v>0</v>
      </c>
      <c r="I53" s="8">
        <f t="shared" si="45"/>
        <v>0</v>
      </c>
      <c r="J53" s="7"/>
    </row>
    <row r="54" spans="1:10" ht="11.1" customHeight="1" x14ac:dyDescent="0.25">
      <c r="A54" s="50"/>
      <c r="B54" s="207" t="s">
        <v>89</v>
      </c>
      <c r="C54" s="208"/>
      <c r="D54" s="208"/>
      <c r="E54" s="33">
        <v>0</v>
      </c>
      <c r="F54" s="8">
        <f t="shared" si="42"/>
        <v>0</v>
      </c>
      <c r="G54" s="8">
        <v>0</v>
      </c>
      <c r="H54" s="8">
        <f t="shared" si="44"/>
        <v>0</v>
      </c>
      <c r="I54" s="8">
        <f t="shared" si="45"/>
        <v>0</v>
      </c>
      <c r="J54" s="7"/>
    </row>
    <row r="55" spans="1:10" ht="11.1" customHeight="1" x14ac:dyDescent="0.25">
      <c r="A55" s="52"/>
      <c r="B55" s="25"/>
      <c r="C55" s="215" t="s">
        <v>90</v>
      </c>
      <c r="D55" s="216"/>
      <c r="E55" s="37">
        <f>E50+E45+E44+E37+E36+E35+E34+E30</f>
        <v>0</v>
      </c>
      <c r="F55" s="37">
        <f>F50+F45+F44+F37+F36+F35+F34+F30</f>
        <v>0</v>
      </c>
      <c r="G55" s="37">
        <f>G50+G45+G44+G37+G36+G35+G34+G30</f>
        <v>0</v>
      </c>
      <c r="H55" s="37">
        <f>H50+H45+H44+H37+H36+H35+H34+H30</f>
        <v>0</v>
      </c>
      <c r="I55" s="37">
        <f>I50+I45+I44+I37+I36+I35+I34+I30</f>
        <v>0</v>
      </c>
      <c r="J55" s="7"/>
    </row>
    <row r="56" spans="1:10" ht="11.1" customHeight="1" x14ac:dyDescent="0.25">
      <c r="A56" s="40"/>
      <c r="B56" s="18" t="s">
        <v>91</v>
      </c>
      <c r="C56" s="15"/>
      <c r="D56" s="15"/>
      <c r="E56" s="21"/>
      <c r="F56" s="33"/>
      <c r="G56" s="21"/>
      <c r="H56" s="21"/>
      <c r="I56" s="21"/>
    </row>
    <row r="57" spans="1:10" ht="12" customHeight="1" x14ac:dyDescent="0.25">
      <c r="A57" s="46" t="s">
        <v>92</v>
      </c>
      <c r="B57" s="28"/>
      <c r="C57" s="219" t="s">
        <v>93</v>
      </c>
      <c r="D57" s="220"/>
      <c r="E57" s="170">
        <f>SUM(E58:E62)</f>
        <v>0</v>
      </c>
      <c r="F57" s="9">
        <f t="shared" ref="F57:F72" si="46">ROUND(E57/$F$7,2)</f>
        <v>0</v>
      </c>
      <c r="G57" s="9">
        <f t="shared" ref="G57:G72" si="47">ROUND(E57*$K$3,2)</f>
        <v>0</v>
      </c>
      <c r="H57" s="9">
        <f t="shared" ref="H57:H72" si="48">E57+G57</f>
        <v>0</v>
      </c>
      <c r="I57" s="9">
        <f t="shared" ref="I57:I72" si="49">ROUND(G57/$F$7,2)+F57</f>
        <v>0</v>
      </c>
    </row>
    <row r="58" spans="1:10" ht="12" customHeight="1" x14ac:dyDescent="0.25">
      <c r="A58" s="46"/>
      <c r="B58" s="28"/>
      <c r="C58" s="272" t="s">
        <v>682</v>
      </c>
      <c r="D58" s="273"/>
      <c r="E58" s="33">
        <f>'(7)F1 RV'!H51</f>
        <v>0</v>
      </c>
      <c r="F58" s="8">
        <f t="shared" si="46"/>
        <v>0</v>
      </c>
      <c r="G58" s="8">
        <f t="shared" si="47"/>
        <v>0</v>
      </c>
      <c r="H58" s="8">
        <f t="shared" si="48"/>
        <v>0</v>
      </c>
      <c r="I58" s="8">
        <f t="shared" si="49"/>
        <v>0</v>
      </c>
    </row>
    <row r="59" spans="1:10" ht="12" customHeight="1" x14ac:dyDescent="0.25">
      <c r="A59" s="46"/>
      <c r="B59" s="28"/>
      <c r="C59" s="272" t="s">
        <v>683</v>
      </c>
      <c r="D59" s="273"/>
      <c r="E59" s="33">
        <f>'(7)F1 RV'!H52</f>
        <v>0</v>
      </c>
      <c r="F59" s="8">
        <f t="shared" si="46"/>
        <v>0</v>
      </c>
      <c r="G59" s="8">
        <f t="shared" si="47"/>
        <v>0</v>
      </c>
      <c r="H59" s="8">
        <f t="shared" si="48"/>
        <v>0</v>
      </c>
      <c r="I59" s="8">
        <f t="shared" si="49"/>
        <v>0</v>
      </c>
    </row>
    <row r="60" spans="1:10" ht="12" customHeight="1" x14ac:dyDescent="0.25">
      <c r="A60" s="46"/>
      <c r="B60" s="28"/>
      <c r="C60" s="272" t="s">
        <v>684</v>
      </c>
      <c r="D60" s="273"/>
      <c r="E60" s="33">
        <f>'(7)F1 RV'!H53</f>
        <v>0</v>
      </c>
      <c r="F60" s="8">
        <f t="shared" si="46"/>
        <v>0</v>
      </c>
      <c r="G60" s="8">
        <f t="shared" si="47"/>
        <v>0</v>
      </c>
      <c r="H60" s="8">
        <f t="shared" si="48"/>
        <v>0</v>
      </c>
      <c r="I60" s="8">
        <f t="shared" si="49"/>
        <v>0</v>
      </c>
    </row>
    <row r="61" spans="1:10" ht="12" customHeight="1" x14ac:dyDescent="0.25">
      <c r="A61" s="46"/>
      <c r="B61" s="28"/>
      <c r="C61" s="272" t="s">
        <v>685</v>
      </c>
      <c r="D61" s="273"/>
      <c r="E61" s="33">
        <f>'(7)F1 RV'!H54</f>
        <v>0</v>
      </c>
      <c r="F61" s="8">
        <f t="shared" si="46"/>
        <v>0</v>
      </c>
      <c r="G61" s="8">
        <f t="shared" si="47"/>
        <v>0</v>
      </c>
      <c r="H61" s="8">
        <f t="shared" si="48"/>
        <v>0</v>
      </c>
      <c r="I61" s="8">
        <f t="shared" si="49"/>
        <v>0</v>
      </c>
    </row>
    <row r="62" spans="1:10" x14ac:dyDescent="0.25">
      <c r="A62" s="40"/>
      <c r="B62" s="107"/>
      <c r="C62" s="270" t="s">
        <v>158</v>
      </c>
      <c r="D62" s="271"/>
      <c r="E62" s="8">
        <f>'(7)F1 RV'!H55</f>
        <v>0</v>
      </c>
      <c r="F62" s="8">
        <f t="shared" si="46"/>
        <v>0</v>
      </c>
      <c r="G62" s="8">
        <f t="shared" si="47"/>
        <v>0</v>
      </c>
      <c r="H62" s="8">
        <f t="shared" si="48"/>
        <v>0</v>
      </c>
      <c r="I62" s="8">
        <f t="shared" si="49"/>
        <v>0</v>
      </c>
    </row>
    <row r="63" spans="1:10" x14ac:dyDescent="0.25">
      <c r="A63" s="46" t="s">
        <v>101</v>
      </c>
      <c r="B63" s="28"/>
      <c r="C63" s="219" t="s">
        <v>102</v>
      </c>
      <c r="D63" s="220"/>
      <c r="E63" s="170">
        <f>SUM(E64:E67)</f>
        <v>0</v>
      </c>
      <c r="F63" s="9">
        <f t="shared" si="46"/>
        <v>0</v>
      </c>
      <c r="G63" s="9">
        <f t="shared" si="47"/>
        <v>0</v>
      </c>
      <c r="H63" s="9">
        <f t="shared" si="48"/>
        <v>0</v>
      </c>
      <c r="I63" s="9">
        <f t="shared" si="49"/>
        <v>0</v>
      </c>
    </row>
    <row r="64" spans="1:10" x14ac:dyDescent="0.25">
      <c r="A64" s="46"/>
      <c r="B64" s="28"/>
      <c r="C64" s="272" t="s">
        <v>682</v>
      </c>
      <c r="D64" s="273"/>
      <c r="E64" s="33">
        <f>'(7)F1 RV'!H100</f>
        <v>0</v>
      </c>
      <c r="F64" s="8">
        <f t="shared" si="46"/>
        <v>0</v>
      </c>
      <c r="G64" s="8">
        <f t="shared" si="47"/>
        <v>0</v>
      </c>
      <c r="H64" s="8">
        <f t="shared" si="48"/>
        <v>0</v>
      </c>
      <c r="I64" s="8">
        <f t="shared" si="49"/>
        <v>0</v>
      </c>
    </row>
    <row r="65" spans="1:10" x14ac:dyDescent="0.25">
      <c r="A65" s="46"/>
      <c r="B65" s="28"/>
      <c r="C65" s="272" t="s">
        <v>683</v>
      </c>
      <c r="D65" s="273"/>
      <c r="E65" s="33">
        <f>'(7)F1 RV'!H101</f>
        <v>0</v>
      </c>
      <c r="F65" s="8">
        <f t="shared" si="46"/>
        <v>0</v>
      </c>
      <c r="G65" s="8">
        <f t="shared" si="47"/>
        <v>0</v>
      </c>
      <c r="H65" s="8">
        <f t="shared" si="48"/>
        <v>0</v>
      </c>
      <c r="I65" s="8">
        <f t="shared" si="49"/>
        <v>0</v>
      </c>
    </row>
    <row r="66" spans="1:10" x14ac:dyDescent="0.25">
      <c r="A66" s="40"/>
      <c r="B66" s="107"/>
      <c r="C66" s="272" t="s">
        <v>684</v>
      </c>
      <c r="D66" s="273"/>
      <c r="E66" s="8">
        <f>'(7)F1 RV'!H102</f>
        <v>0</v>
      </c>
      <c r="F66" s="8">
        <f t="shared" si="46"/>
        <v>0</v>
      </c>
      <c r="G66" s="8">
        <f t="shared" si="47"/>
        <v>0</v>
      </c>
      <c r="H66" s="8">
        <f t="shared" si="48"/>
        <v>0</v>
      </c>
      <c r="I66" s="8">
        <f t="shared" si="49"/>
        <v>0</v>
      </c>
    </row>
    <row r="67" spans="1:10" x14ac:dyDescent="0.25">
      <c r="A67" s="40"/>
      <c r="B67" s="107"/>
      <c r="C67" s="272" t="s">
        <v>685</v>
      </c>
      <c r="D67" s="273"/>
      <c r="E67" s="8">
        <f>'(7)F1 RV'!H103</f>
        <v>0</v>
      </c>
      <c r="F67" s="8">
        <f t="shared" si="46"/>
        <v>0</v>
      </c>
      <c r="G67" s="8">
        <f t="shared" si="47"/>
        <v>0</v>
      </c>
      <c r="H67" s="8">
        <f t="shared" si="48"/>
        <v>0</v>
      </c>
      <c r="I67" s="8">
        <f t="shared" si="49"/>
        <v>0</v>
      </c>
    </row>
    <row r="68" spans="1:10" ht="10.95" customHeight="1" x14ac:dyDescent="0.25">
      <c r="A68" s="46" t="s">
        <v>110</v>
      </c>
      <c r="B68" s="28"/>
      <c r="C68" s="28" t="s">
        <v>111</v>
      </c>
      <c r="D68" s="34"/>
      <c r="E68" s="170">
        <f>SUM(E69:E75)</f>
        <v>0</v>
      </c>
      <c r="F68" s="9">
        <f t="shared" si="46"/>
        <v>0</v>
      </c>
      <c r="G68" s="9">
        <f t="shared" si="47"/>
        <v>0</v>
      </c>
      <c r="H68" s="9">
        <f t="shared" si="48"/>
        <v>0</v>
      </c>
      <c r="I68" s="9">
        <f t="shared" si="49"/>
        <v>0</v>
      </c>
    </row>
    <row r="69" spans="1:10" ht="10.95" customHeight="1" x14ac:dyDescent="0.25">
      <c r="A69" s="46"/>
      <c r="B69" s="28"/>
      <c r="C69" s="272" t="s">
        <v>682</v>
      </c>
      <c r="D69" s="273"/>
      <c r="E69" s="33">
        <f>'(7)F1 RV'!H112</f>
        <v>0</v>
      </c>
      <c r="F69" s="8">
        <f t="shared" si="46"/>
        <v>0</v>
      </c>
      <c r="G69" s="8">
        <f t="shared" si="47"/>
        <v>0</v>
      </c>
      <c r="H69" s="8">
        <f t="shared" si="48"/>
        <v>0</v>
      </c>
      <c r="I69" s="8">
        <f t="shared" si="49"/>
        <v>0</v>
      </c>
    </row>
    <row r="70" spans="1:10" ht="10.95" customHeight="1" x14ac:dyDescent="0.25">
      <c r="A70" s="46"/>
      <c r="B70" s="28"/>
      <c r="C70" s="272" t="s">
        <v>683</v>
      </c>
      <c r="D70" s="273"/>
      <c r="E70" s="33">
        <f>'(7)F1 RV'!H113</f>
        <v>0</v>
      </c>
      <c r="F70" s="8">
        <f t="shared" si="46"/>
        <v>0</v>
      </c>
      <c r="G70" s="8">
        <f t="shared" si="47"/>
        <v>0</v>
      </c>
      <c r="H70" s="8">
        <f t="shared" si="48"/>
        <v>0</v>
      </c>
      <c r="I70" s="8">
        <f t="shared" si="49"/>
        <v>0</v>
      </c>
    </row>
    <row r="71" spans="1:10" x14ac:dyDescent="0.25">
      <c r="A71" s="53"/>
      <c r="B71" s="114"/>
      <c r="C71" s="272" t="s">
        <v>684</v>
      </c>
      <c r="D71" s="273"/>
      <c r="E71" s="8">
        <f>'(7)F1 RV'!H114</f>
        <v>0</v>
      </c>
      <c r="F71" s="8">
        <f t="shared" si="46"/>
        <v>0</v>
      </c>
      <c r="G71" s="8">
        <f t="shared" si="47"/>
        <v>0</v>
      </c>
      <c r="H71" s="8">
        <f t="shared" si="48"/>
        <v>0</v>
      </c>
      <c r="I71" s="8">
        <f t="shared" si="49"/>
        <v>0</v>
      </c>
    </row>
    <row r="72" spans="1:10" x14ac:dyDescent="0.25">
      <c r="A72" s="53"/>
      <c r="B72" s="114"/>
      <c r="C72" s="272" t="s">
        <v>685</v>
      </c>
      <c r="D72" s="273"/>
      <c r="E72" s="8">
        <f>'(7)F1 RV'!H115</f>
        <v>0</v>
      </c>
      <c r="F72" s="8">
        <f t="shared" si="46"/>
        <v>0</v>
      </c>
      <c r="G72" s="8">
        <f t="shared" si="47"/>
        <v>0</v>
      </c>
      <c r="H72" s="8">
        <f t="shared" si="48"/>
        <v>0</v>
      </c>
      <c r="I72" s="8">
        <f t="shared" si="49"/>
        <v>0</v>
      </c>
    </row>
    <row r="73" spans="1:10" ht="11.1" customHeight="1" x14ac:dyDescent="0.25">
      <c r="A73" s="40" t="s">
        <v>119</v>
      </c>
      <c r="B73" s="20"/>
      <c r="C73" s="217" t="s">
        <v>120</v>
      </c>
      <c r="D73" s="218"/>
      <c r="E73" s="8">
        <v>0</v>
      </c>
      <c r="F73" s="8">
        <f t="shared" ref="F73:F74" si="50">ROUND(E73/$F$7,2)</f>
        <v>0</v>
      </c>
      <c r="G73" s="8">
        <f t="shared" ref="G73:G74" si="51">ROUND(E73*$K$3,2)</f>
        <v>0</v>
      </c>
      <c r="H73" s="8">
        <f t="shared" ref="H73:H74" si="52">E73+G73</f>
        <v>0</v>
      </c>
      <c r="I73" s="8">
        <f t="shared" ref="I73:I74" si="53">ROUND(G73/$F$7,2)+F73</f>
        <v>0</v>
      </c>
    </row>
    <row r="74" spans="1:10" ht="11.1" customHeight="1" x14ac:dyDescent="0.25">
      <c r="A74" s="40" t="s">
        <v>121</v>
      </c>
      <c r="B74" s="20"/>
      <c r="C74" s="217" t="s">
        <v>122</v>
      </c>
      <c r="D74" s="218"/>
      <c r="E74" s="8">
        <v>0</v>
      </c>
      <c r="F74" s="8">
        <f t="shared" si="50"/>
        <v>0</v>
      </c>
      <c r="G74" s="8">
        <f t="shared" si="51"/>
        <v>0</v>
      </c>
      <c r="H74" s="8">
        <f t="shared" si="52"/>
        <v>0</v>
      </c>
      <c r="I74" s="8">
        <f t="shared" si="53"/>
        <v>0</v>
      </c>
    </row>
    <row r="75" spans="1:10" ht="11.1" customHeight="1" x14ac:dyDescent="0.25">
      <c r="A75" s="40" t="s">
        <v>123</v>
      </c>
      <c r="B75" s="20"/>
      <c r="C75" s="217" t="s">
        <v>124</v>
      </c>
      <c r="D75" s="218"/>
      <c r="E75" s="10">
        <v>0</v>
      </c>
      <c r="F75" s="8">
        <f t="shared" ref="F75" si="54">ROUND(E75/$F$7,2)</f>
        <v>0</v>
      </c>
      <c r="G75" s="8">
        <f t="shared" ref="G75" si="55">ROUND(E75*$K$3,2)</f>
        <v>0</v>
      </c>
      <c r="H75" s="8">
        <f t="shared" ref="H75" si="56">E75+G75</f>
        <v>0</v>
      </c>
      <c r="I75" s="8">
        <f t="shared" ref="I75" si="57">ROUND(G75/$F$7,2)+F75</f>
        <v>0</v>
      </c>
    </row>
    <row r="76" spans="1:10" ht="11.1" customHeight="1" x14ac:dyDescent="0.25">
      <c r="A76" s="45"/>
      <c r="B76" s="25"/>
      <c r="C76" s="215" t="s">
        <v>125</v>
      </c>
      <c r="D76" s="216"/>
      <c r="E76" s="31">
        <f>E57+E63+E68+E73+E74+E75</f>
        <v>0</v>
      </c>
      <c r="F76" s="31">
        <f>F57+F63+F68+F73+F74+F75</f>
        <v>0</v>
      </c>
      <c r="G76" s="31">
        <f>G57+G63+G68+G73+G74+G75</f>
        <v>0</v>
      </c>
      <c r="H76" s="31">
        <f>H57+H63+H68+H73+H74+H75</f>
        <v>0</v>
      </c>
      <c r="I76" s="31">
        <f>I57+I63+I68+I73+I74+I75</f>
        <v>0</v>
      </c>
    </row>
    <row r="77" spans="1:10" ht="11.1" customHeight="1" x14ac:dyDescent="0.25">
      <c r="A77" s="40"/>
      <c r="B77" s="221" t="s">
        <v>126</v>
      </c>
      <c r="C77" s="222"/>
      <c r="D77" s="223"/>
      <c r="E77" s="9"/>
      <c r="F77" s="8"/>
      <c r="G77" s="9"/>
      <c r="H77" s="9"/>
      <c r="I77" s="9"/>
    </row>
    <row r="78" spans="1:10" ht="11.1" customHeight="1" x14ac:dyDescent="0.25">
      <c r="A78" s="46" t="s">
        <v>127</v>
      </c>
      <c r="B78" s="28"/>
      <c r="C78" s="219" t="s">
        <v>128</v>
      </c>
      <c r="D78" s="220"/>
      <c r="E78" s="29">
        <f>SUM(E79:E80)</f>
        <v>0</v>
      </c>
      <c r="F78" s="29">
        <f t="shared" ref="F78:I78" si="58">SUM(F79:F80)</f>
        <v>0</v>
      </c>
      <c r="G78" s="29">
        <f t="shared" si="58"/>
        <v>0</v>
      </c>
      <c r="H78" s="29">
        <f t="shared" si="58"/>
        <v>0</v>
      </c>
      <c r="I78" s="29">
        <f t="shared" si="58"/>
        <v>0</v>
      </c>
      <c r="J78" s="7"/>
    </row>
    <row r="79" spans="1:10" ht="11.1" customHeight="1" x14ac:dyDescent="0.25">
      <c r="A79" s="47"/>
      <c r="B79" s="15" t="s">
        <v>129</v>
      </c>
      <c r="C79" s="227" t="s">
        <v>130</v>
      </c>
      <c r="D79" s="228"/>
      <c r="E79" s="8">
        <f>(E57+E63)*J79/100</f>
        <v>0</v>
      </c>
      <c r="F79" s="8">
        <f t="shared" ref="F79:F80" si="59">ROUND(E79/$F$7,2)</f>
        <v>0</v>
      </c>
      <c r="G79" s="8">
        <f t="shared" ref="G79:G80" si="60">ROUND(E79*$K$3,2)</f>
        <v>0</v>
      </c>
      <c r="H79" s="8">
        <f t="shared" ref="H79:H80" si="61">E79+G79</f>
        <v>0</v>
      </c>
      <c r="I79" s="8">
        <f t="shared" ref="I79:I80" si="62">ROUND(G79/$F$7,2)+F79</f>
        <v>0</v>
      </c>
      <c r="J79" s="7"/>
    </row>
    <row r="80" spans="1:10" ht="11.1" customHeight="1" x14ac:dyDescent="0.25">
      <c r="A80" s="47"/>
      <c r="B80" s="15" t="s">
        <v>131</v>
      </c>
      <c r="C80" s="15" t="s">
        <v>132</v>
      </c>
      <c r="D80" s="15"/>
      <c r="E80" s="8">
        <v>0</v>
      </c>
      <c r="F80" s="8">
        <f t="shared" si="59"/>
        <v>0</v>
      </c>
      <c r="G80" s="8">
        <f t="shared" si="60"/>
        <v>0</v>
      </c>
      <c r="H80" s="8">
        <f t="shared" si="61"/>
        <v>0</v>
      </c>
      <c r="I80" s="8">
        <f t="shared" si="62"/>
        <v>0</v>
      </c>
      <c r="J80" s="7"/>
    </row>
    <row r="81" spans="1:15" ht="11.1" customHeight="1" x14ac:dyDescent="0.25">
      <c r="A81" s="48" t="s">
        <v>133</v>
      </c>
      <c r="B81" s="28"/>
      <c r="C81" s="28" t="s">
        <v>134</v>
      </c>
      <c r="D81" s="28"/>
      <c r="E81" s="27">
        <f>SUM(E82:E86)</f>
        <v>0</v>
      </c>
      <c r="F81" s="27">
        <f t="shared" ref="F81:I81" si="63">SUM(F82:F86)</f>
        <v>0</v>
      </c>
      <c r="G81" s="27">
        <f t="shared" si="63"/>
        <v>0</v>
      </c>
      <c r="H81" s="27">
        <f t="shared" si="63"/>
        <v>0</v>
      </c>
      <c r="I81" s="27">
        <f t="shared" si="63"/>
        <v>0</v>
      </c>
      <c r="J81" s="7"/>
    </row>
    <row r="82" spans="1:15" ht="11.1" customHeight="1" x14ac:dyDescent="0.25">
      <c r="A82" s="40"/>
      <c r="B82" s="15" t="s">
        <v>135</v>
      </c>
      <c r="C82" s="227" t="s">
        <v>136</v>
      </c>
      <c r="D82" s="228"/>
      <c r="E82" s="8">
        <v>0</v>
      </c>
      <c r="F82" s="8">
        <f>E82/F7</f>
        <v>0</v>
      </c>
      <c r="G82" s="8">
        <f>SUM(G83:G85)*0</f>
        <v>0</v>
      </c>
      <c r="H82" s="8">
        <f>E82+G82</f>
        <v>0</v>
      </c>
      <c r="I82" s="8">
        <f t="shared" ref="I82" si="64">H82/$F$7</f>
        <v>0</v>
      </c>
      <c r="J82" s="7"/>
      <c r="K82" s="7"/>
    </row>
    <row r="83" spans="1:15" ht="12" customHeight="1" x14ac:dyDescent="0.25">
      <c r="A83" s="40"/>
      <c r="B83" s="15" t="s">
        <v>137</v>
      </c>
      <c r="C83" s="209" t="s">
        <v>1873</v>
      </c>
      <c r="D83" s="210"/>
      <c r="E83" s="8">
        <f>(E57+E79)*0.5%</f>
        <v>0</v>
      </c>
      <c r="F83" s="8">
        <f t="shared" ref="F83:F88" si="65">ROUND(E83/$F$7,2)</f>
        <v>0</v>
      </c>
      <c r="G83" s="8">
        <v>0</v>
      </c>
      <c r="H83" s="8">
        <f t="shared" ref="H83:H88" si="66">E83+G83</f>
        <v>0</v>
      </c>
      <c r="I83" s="8">
        <f t="shared" ref="I83:I88" si="67">ROUND(G83/$F$7,2)+F83</f>
        <v>0</v>
      </c>
      <c r="J83" s="7"/>
      <c r="K83" s="7"/>
    </row>
    <row r="84" spans="1:15" ht="24" customHeight="1" x14ac:dyDescent="0.25">
      <c r="A84" s="40"/>
      <c r="B84" s="15" t="s">
        <v>138</v>
      </c>
      <c r="C84" s="209" t="s">
        <v>1874</v>
      </c>
      <c r="D84" s="210"/>
      <c r="E84" s="8">
        <f>(E57+E79)*0.1%</f>
        <v>0</v>
      </c>
      <c r="F84" s="8">
        <f t="shared" si="65"/>
        <v>0</v>
      </c>
      <c r="G84" s="8">
        <v>0</v>
      </c>
      <c r="H84" s="8">
        <f t="shared" si="66"/>
        <v>0</v>
      </c>
      <c r="I84" s="8">
        <f t="shared" si="67"/>
        <v>0</v>
      </c>
      <c r="J84" s="7"/>
      <c r="K84" s="7"/>
    </row>
    <row r="85" spans="1:15" ht="11.1" customHeight="1" x14ac:dyDescent="0.25">
      <c r="A85" s="40"/>
      <c r="B85" s="15" t="s">
        <v>139</v>
      </c>
      <c r="C85" s="227" t="s">
        <v>140</v>
      </c>
      <c r="D85" s="228"/>
      <c r="E85" s="8">
        <f>(E95)*0.5%</f>
        <v>0</v>
      </c>
      <c r="F85" s="8">
        <f t="shared" si="65"/>
        <v>0</v>
      </c>
      <c r="G85" s="8">
        <v>0</v>
      </c>
      <c r="H85" s="8">
        <f t="shared" si="66"/>
        <v>0</v>
      </c>
      <c r="I85" s="8">
        <f t="shared" si="67"/>
        <v>0</v>
      </c>
      <c r="J85" s="7"/>
      <c r="K85" s="7"/>
    </row>
    <row r="86" spans="1:15" x14ac:dyDescent="0.25">
      <c r="A86" s="40"/>
      <c r="B86" s="15" t="s">
        <v>141</v>
      </c>
      <c r="C86" s="260" t="s">
        <v>142</v>
      </c>
      <c r="D86" s="260"/>
      <c r="E86" s="8">
        <f>(E57+E79)*1%</f>
        <v>0</v>
      </c>
      <c r="F86" s="8">
        <f t="shared" si="65"/>
        <v>0</v>
      </c>
      <c r="G86" s="8">
        <f>E86*0</f>
        <v>0</v>
      </c>
      <c r="H86" s="8">
        <f t="shared" si="66"/>
        <v>0</v>
      </c>
      <c r="I86" s="8">
        <f t="shared" si="67"/>
        <v>0</v>
      </c>
      <c r="J86" s="5"/>
      <c r="K86" s="5"/>
    </row>
    <row r="87" spans="1:15" ht="11.1" customHeight="1" x14ac:dyDescent="0.25">
      <c r="A87" s="46" t="s">
        <v>143</v>
      </c>
      <c r="B87" s="20"/>
      <c r="C87" s="20" t="s">
        <v>144</v>
      </c>
      <c r="D87" s="20"/>
      <c r="E87" s="10">
        <f>(E25+E28+E37+E50+E76)*15%</f>
        <v>0</v>
      </c>
      <c r="F87" s="8">
        <f t="shared" si="65"/>
        <v>0</v>
      </c>
      <c r="G87" s="8">
        <f t="shared" ref="G87:G88" si="68">ROUND(E87*$K$3,2)</f>
        <v>0</v>
      </c>
      <c r="H87" s="8">
        <f t="shared" si="66"/>
        <v>0</v>
      </c>
      <c r="I87" s="8">
        <f t="shared" si="67"/>
        <v>0</v>
      </c>
      <c r="J87" s="5"/>
      <c r="K87" s="5"/>
    </row>
    <row r="88" spans="1:15" s="32" customFormat="1" ht="11.1" customHeight="1" x14ac:dyDescent="0.25">
      <c r="A88" s="40">
        <v>5.4</v>
      </c>
      <c r="B88" s="20"/>
      <c r="C88" s="217" t="s">
        <v>145</v>
      </c>
      <c r="D88" s="218"/>
      <c r="E88" s="10">
        <v>0</v>
      </c>
      <c r="F88" s="8">
        <f t="shared" si="65"/>
        <v>0</v>
      </c>
      <c r="G88" s="8">
        <f t="shared" si="68"/>
        <v>0</v>
      </c>
      <c r="H88" s="8">
        <f t="shared" si="66"/>
        <v>0</v>
      </c>
      <c r="I88" s="8">
        <f t="shared" si="67"/>
        <v>0</v>
      </c>
      <c r="J88" s="61"/>
    </row>
    <row r="89" spans="1:15" ht="11.1" customHeight="1" x14ac:dyDescent="0.25">
      <c r="A89" s="45"/>
      <c r="B89" s="25"/>
      <c r="C89" s="215" t="s">
        <v>146</v>
      </c>
      <c r="D89" s="216"/>
      <c r="E89" s="31">
        <f>E78+E81+E87+E88</f>
        <v>0</v>
      </c>
      <c r="F89" s="31">
        <f t="shared" ref="F89:I89" si="69">F78+F81+F87+F88</f>
        <v>0</v>
      </c>
      <c r="G89" s="31">
        <f t="shared" si="69"/>
        <v>0</v>
      </c>
      <c r="H89" s="31">
        <f t="shared" si="69"/>
        <v>0</v>
      </c>
      <c r="I89" s="31">
        <f t="shared" si="69"/>
        <v>0</v>
      </c>
      <c r="J89" s="7"/>
    </row>
    <row r="90" spans="1:15" ht="11.1" customHeight="1" x14ac:dyDescent="0.25">
      <c r="A90" s="40"/>
      <c r="B90" s="18" t="s">
        <v>147</v>
      </c>
      <c r="C90" s="15"/>
      <c r="D90" s="15"/>
      <c r="E90" s="9"/>
      <c r="F90" s="8"/>
      <c r="G90" s="19"/>
      <c r="H90" s="9"/>
      <c r="I90" s="9"/>
    </row>
    <row r="91" spans="1:15" ht="11.1" customHeight="1" x14ac:dyDescent="0.25">
      <c r="A91" s="40" t="s">
        <v>148</v>
      </c>
      <c r="B91" s="15"/>
      <c r="C91" s="231" t="s">
        <v>149</v>
      </c>
      <c r="D91" s="232"/>
      <c r="E91" s="8">
        <v>0</v>
      </c>
      <c r="F91" s="8">
        <f t="shared" ref="F91:F92" si="70">ROUND(E91/$F$7,2)</f>
        <v>0</v>
      </c>
      <c r="G91" s="8">
        <f t="shared" ref="G91" si="71">ROUND(E91*$K$3,2)</f>
        <v>0</v>
      </c>
      <c r="H91" s="8">
        <f t="shared" ref="H91:H92" si="72">E91+G91</f>
        <v>0</v>
      </c>
      <c r="I91" s="8">
        <f t="shared" ref="I91:I92" si="73">ROUND(G91/$F$7,2)+F91</f>
        <v>0</v>
      </c>
    </row>
    <row r="92" spans="1:15" ht="11.1" customHeight="1" x14ac:dyDescent="0.25">
      <c r="A92" s="40" t="s">
        <v>150</v>
      </c>
      <c r="B92" s="15"/>
      <c r="C92" s="231" t="s">
        <v>151</v>
      </c>
      <c r="D92" s="232"/>
      <c r="E92" s="8">
        <v>0</v>
      </c>
      <c r="F92" s="8">
        <f t="shared" si="70"/>
        <v>0</v>
      </c>
      <c r="G92" s="8">
        <v>0</v>
      </c>
      <c r="H92" s="8">
        <f t="shared" si="72"/>
        <v>0</v>
      </c>
      <c r="I92" s="8">
        <f t="shared" si="73"/>
        <v>0</v>
      </c>
    </row>
    <row r="93" spans="1:15" x14ac:dyDescent="0.25">
      <c r="A93" s="52"/>
      <c r="B93" s="25"/>
      <c r="C93" s="233" t="s">
        <v>152</v>
      </c>
      <c r="D93" s="234"/>
      <c r="E93" s="30">
        <f>SUM(E91:E92)</f>
        <v>0</v>
      </c>
      <c r="F93" s="30">
        <f t="shared" ref="F93:I93" si="74">SUM(F91:F92)</f>
        <v>0</v>
      </c>
      <c r="G93" s="30">
        <f t="shared" si="74"/>
        <v>0</v>
      </c>
      <c r="H93" s="30">
        <f t="shared" si="74"/>
        <v>0</v>
      </c>
      <c r="I93" s="30">
        <f t="shared" si="74"/>
        <v>0</v>
      </c>
      <c r="M93" s="1" t="s">
        <v>163</v>
      </c>
      <c r="N93" s="54">
        <f>E17+E22+E57</f>
        <v>0</v>
      </c>
    </row>
    <row r="94" spans="1:15" x14ac:dyDescent="0.25">
      <c r="A94" s="224" t="s">
        <v>153</v>
      </c>
      <c r="B94" s="224"/>
      <c r="C94" s="224"/>
      <c r="D94" s="224"/>
      <c r="E94" s="21">
        <f>E25+E28+E55+E76+E89+E93</f>
        <v>0</v>
      </c>
      <c r="F94" s="21">
        <f>E94/4.9</f>
        <v>0</v>
      </c>
      <c r="G94" s="21">
        <f>E94*0.19</f>
        <v>0</v>
      </c>
      <c r="H94" s="21">
        <f>E94+G94</f>
        <v>0</v>
      </c>
      <c r="I94" s="21">
        <f>H94/4.9</f>
        <v>0</v>
      </c>
      <c r="M94" s="1" t="s">
        <v>164</v>
      </c>
      <c r="N94" s="54">
        <f>E63</f>
        <v>0</v>
      </c>
    </row>
    <row r="95" spans="1:15" x14ac:dyDescent="0.25">
      <c r="A95" s="257" t="s">
        <v>154</v>
      </c>
      <c r="B95" s="257"/>
      <c r="C95" s="257"/>
      <c r="D95" s="257"/>
      <c r="E95" s="22">
        <f>E25+E28+E57+E63+E79</f>
        <v>0</v>
      </c>
      <c r="F95" s="21">
        <f t="shared" ref="F95:F96" si="75">E95/4.9</f>
        <v>0</v>
      </c>
      <c r="G95" s="21">
        <f t="shared" ref="G95:G96" si="76">E95*0.19</f>
        <v>0</v>
      </c>
      <c r="H95" s="21">
        <f t="shared" ref="H95:H96" si="77">E95+G95</f>
        <v>0</v>
      </c>
      <c r="I95" s="21">
        <f t="shared" ref="I95:I96" si="78">H95/4.9</f>
        <v>0</v>
      </c>
      <c r="M95" s="1" t="s">
        <v>165</v>
      </c>
      <c r="N95" s="54">
        <f>E68</f>
        <v>0</v>
      </c>
    </row>
    <row r="96" spans="1:15" x14ac:dyDescent="0.25">
      <c r="A96" s="257" t="s">
        <v>686</v>
      </c>
      <c r="B96" s="257"/>
      <c r="C96" s="257"/>
      <c r="D96" s="257"/>
      <c r="E96" s="22">
        <f>E25+E57</f>
        <v>0</v>
      </c>
      <c r="F96" s="21">
        <f t="shared" si="75"/>
        <v>0</v>
      </c>
      <c r="G96" s="21">
        <f t="shared" si="76"/>
        <v>0</v>
      </c>
      <c r="H96" s="21">
        <f t="shared" si="77"/>
        <v>0</v>
      </c>
      <c r="I96" s="21">
        <f t="shared" si="78"/>
        <v>0</v>
      </c>
      <c r="M96" s="1" t="s">
        <v>156</v>
      </c>
      <c r="N96" s="54">
        <f>SUM(N93:N95)</f>
        <v>0</v>
      </c>
      <c r="O96" s="127">
        <f>N96-'(7)F1 RV'!C131</f>
        <v>0</v>
      </c>
    </row>
    <row r="97" spans="4:7" x14ac:dyDescent="0.25">
      <c r="D97" s="11"/>
      <c r="E97" s="5" t="s">
        <v>155</v>
      </c>
      <c r="F97" s="5"/>
      <c r="G97" s="12"/>
    </row>
    <row r="98" spans="4:7" x14ac:dyDescent="0.25">
      <c r="D98" s="13"/>
      <c r="E98" s="5"/>
      <c r="F98" s="5"/>
      <c r="G98" s="14"/>
    </row>
    <row r="99" spans="4:7" x14ac:dyDescent="0.25">
      <c r="D99" s="13"/>
      <c r="E99" s="5"/>
      <c r="F99" s="5"/>
      <c r="G99" s="14"/>
    </row>
    <row r="100" spans="4:7" x14ac:dyDescent="0.25">
      <c r="D100" s="13"/>
      <c r="E100" s="5"/>
      <c r="F100" s="5"/>
      <c r="G100" s="14"/>
    </row>
  </sheetData>
  <mergeCells count="90">
    <mergeCell ref="C92:D92"/>
    <mergeCell ref="C85:D85"/>
    <mergeCell ref="C86:D86"/>
    <mergeCell ref="C88:D88"/>
    <mergeCell ref="C89:D89"/>
    <mergeCell ref="C91:D91"/>
    <mergeCell ref="C74:D74"/>
    <mergeCell ref="C75:D75"/>
    <mergeCell ref="C58:D58"/>
    <mergeCell ref="C59:D59"/>
    <mergeCell ref="C60:D60"/>
    <mergeCell ref="C61:D61"/>
    <mergeCell ref="C73:D73"/>
    <mergeCell ref="B50:D50"/>
    <mergeCell ref="B51:D51"/>
    <mergeCell ref="B52:D52"/>
    <mergeCell ref="B53:D53"/>
    <mergeCell ref="B54:D54"/>
    <mergeCell ref="C72:D72"/>
    <mergeCell ref="B42:D42"/>
    <mergeCell ref="C47:D47"/>
    <mergeCell ref="C48:D48"/>
    <mergeCell ref="C57:D57"/>
    <mergeCell ref="C63:D63"/>
    <mergeCell ref="B37:D37"/>
    <mergeCell ref="B38:D38"/>
    <mergeCell ref="B39:D39"/>
    <mergeCell ref="B40:D40"/>
    <mergeCell ref="B41:D41"/>
    <mergeCell ref="C32:D32"/>
    <mergeCell ref="C33:D33"/>
    <mergeCell ref="C34:D34"/>
    <mergeCell ref="C35:D35"/>
    <mergeCell ref="C36:D36"/>
    <mergeCell ref="C18:D18"/>
    <mergeCell ref="C19:D19"/>
    <mergeCell ref="C21:D21"/>
    <mergeCell ref="C23:D23"/>
    <mergeCell ref="C20:D20"/>
    <mergeCell ref="B13:D13"/>
    <mergeCell ref="C14:D14"/>
    <mergeCell ref="B15:D15"/>
    <mergeCell ref="C16:D16"/>
    <mergeCell ref="C17:D17"/>
    <mergeCell ref="A8:C8"/>
    <mergeCell ref="H8:I8"/>
    <mergeCell ref="B9:D12"/>
    <mergeCell ref="E9:F11"/>
    <mergeCell ref="G9:G11"/>
    <mergeCell ref="H9:I10"/>
    <mergeCell ref="H11:I11"/>
    <mergeCell ref="C7:D7"/>
    <mergeCell ref="F1:G1"/>
    <mergeCell ref="A2:C2"/>
    <mergeCell ref="A3:I3"/>
    <mergeCell ref="A4:I4"/>
    <mergeCell ref="A5:I5"/>
    <mergeCell ref="A6:I6"/>
    <mergeCell ref="A96:D96"/>
    <mergeCell ref="C62:D62"/>
    <mergeCell ref="C64:D64"/>
    <mergeCell ref="C65:D65"/>
    <mergeCell ref="C66:D66"/>
    <mergeCell ref="C67:D67"/>
    <mergeCell ref="C84:D84"/>
    <mergeCell ref="C76:D76"/>
    <mergeCell ref="B77:D77"/>
    <mergeCell ref="C78:D78"/>
    <mergeCell ref="C79:D79"/>
    <mergeCell ref="C82:D82"/>
    <mergeCell ref="C83:D83"/>
    <mergeCell ref="C93:D93"/>
    <mergeCell ref="A94:D94"/>
    <mergeCell ref="A95:D95"/>
    <mergeCell ref="C69:D69"/>
    <mergeCell ref="C70:D70"/>
    <mergeCell ref="C71:D71"/>
    <mergeCell ref="C25:D25"/>
    <mergeCell ref="B26:D26"/>
    <mergeCell ref="C27:D27"/>
    <mergeCell ref="C28:D28"/>
    <mergeCell ref="B29:D29"/>
    <mergeCell ref="C30:D30"/>
    <mergeCell ref="C55:D55"/>
    <mergeCell ref="B44:D44"/>
    <mergeCell ref="B45:D45"/>
    <mergeCell ref="B46:D46"/>
    <mergeCell ref="B49:D49"/>
    <mergeCell ref="C31:D31"/>
    <mergeCell ref="B43:D43"/>
  </mergeCells>
  <pageMargins left="0.78740157480314965" right="0.59055118110236227" top="0.59055118110236227" bottom="0.78740157480314965" header="0" footer="0"/>
  <pageSetup paperSize="9" scale="71" orientation="portrait" r:id="rId1"/>
  <ignoredErrors>
    <ignoredError sqref="F73:I81 F37:I37 F22:I2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53059ABEFD8540A860D264B1B0B605" ma:contentTypeVersion="14" ma:contentTypeDescription="Create a new document." ma:contentTypeScope="" ma:versionID="69fcc693b2857adef67624843f04bc9e">
  <xsd:schema xmlns:xsd="http://www.w3.org/2001/XMLSchema" xmlns:xs="http://www.w3.org/2001/XMLSchema" xmlns:p="http://schemas.microsoft.com/office/2006/metadata/properties" xmlns:ns1="http://schemas.microsoft.com/sharepoint/v3" xmlns:ns2="4df12f5f-a09e-47b0-9629-359929d5a88d" xmlns:ns3="bd336c5a-6f2c-4c67-b2b7-656afe61f6f8" targetNamespace="http://schemas.microsoft.com/office/2006/metadata/properties" ma:root="true" ma:fieldsID="da6e4e74cbdbaa82197d5c5f6e10e70c" ns1:_="" ns2:_="" ns3:_="">
    <xsd:import namespace="http://schemas.microsoft.com/sharepoint/v3"/>
    <xsd:import namespace="4df12f5f-a09e-47b0-9629-359929d5a88d"/>
    <xsd:import namespace="bd336c5a-6f2c-4c67-b2b7-656afe61f6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12f5f-a09e-47b0-9629-359929d5a8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36c5a-6f2c-4c67-b2b7-656afe61f6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641CDAB-B2CA-4C3E-A364-3C1231EE6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2DAE49-A94A-4D8D-9D0E-5AA695557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df12f5f-a09e-47b0-9629-359929d5a88d"/>
    <ds:schemaRef ds:uri="bd336c5a-6f2c-4c67-b2b7-656afe61f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EB0830-157E-47CB-ABAB-1F621AFD8515}">
  <ds:schemaRefs>
    <ds:schemaRef ds:uri="http://schemas.microsoft.com/sharepoint/v3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336c5a-6f2c-4c67-b2b7-656afe61f6f8"/>
    <ds:schemaRef ds:uri="http://schemas.microsoft.com/office/infopath/2007/PartnerControls"/>
    <ds:schemaRef ds:uri="4df12f5f-a09e-47b0-9629-359929d5a88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26</vt:i4>
      </vt:variant>
      <vt:variant>
        <vt:lpstr>Zone denumite</vt:lpstr>
      </vt:variant>
      <vt:variant>
        <vt:i4>26</vt:i4>
      </vt:variant>
    </vt:vector>
  </HeadingPairs>
  <TitlesOfParts>
    <vt:vector size="52" baseType="lpstr">
      <vt:lpstr>DG</vt:lpstr>
      <vt:lpstr>DG (2)</vt:lpstr>
      <vt:lpstr>DG Bel</vt:lpstr>
      <vt:lpstr>DG Tab</vt:lpstr>
      <vt:lpstr>DG Trif</vt:lpstr>
      <vt:lpstr>DG IMR</vt:lpstr>
      <vt:lpstr>DG PAL</vt:lpstr>
      <vt:lpstr>DG PNG</vt:lpstr>
      <vt:lpstr>DG RV</vt:lpstr>
      <vt:lpstr>DG Del</vt:lpstr>
      <vt:lpstr>DG Iac</vt:lpstr>
      <vt:lpstr>DG Rad</vt:lpstr>
      <vt:lpstr>DG Tar</vt:lpstr>
      <vt:lpstr>DG Mir</vt:lpstr>
      <vt:lpstr>(1)F1 Bel</vt:lpstr>
      <vt:lpstr>(2)F1 Tab</vt:lpstr>
      <vt:lpstr>(3)F1 Trif</vt:lpstr>
      <vt:lpstr>(4)F1 IMR</vt:lpstr>
      <vt:lpstr>(5)F1 PAL</vt:lpstr>
      <vt:lpstr>(6)F1 PNG</vt:lpstr>
      <vt:lpstr>(7)F1 RV</vt:lpstr>
      <vt:lpstr>(8)F1 Del</vt:lpstr>
      <vt:lpstr>(9)F1 Iac</vt:lpstr>
      <vt:lpstr>(10)F1 Rad</vt:lpstr>
      <vt:lpstr>(11)F1 Tar</vt:lpstr>
      <vt:lpstr>(12)F1 Mir</vt:lpstr>
      <vt:lpstr>'(1)F1 Bel'!Zona_de_imprimat</vt:lpstr>
      <vt:lpstr>'(10)F1 Rad'!Zona_de_imprimat</vt:lpstr>
      <vt:lpstr>'(11)F1 Tar'!Zona_de_imprimat</vt:lpstr>
      <vt:lpstr>'(12)F1 Mir'!Zona_de_imprimat</vt:lpstr>
      <vt:lpstr>'(2)F1 Tab'!Zona_de_imprimat</vt:lpstr>
      <vt:lpstr>'(3)F1 Trif'!Zona_de_imprimat</vt:lpstr>
      <vt:lpstr>'(4)F1 IMR'!Zona_de_imprimat</vt:lpstr>
      <vt:lpstr>'(5)F1 PAL'!Zona_de_imprimat</vt:lpstr>
      <vt:lpstr>'(6)F1 PNG'!Zona_de_imprimat</vt:lpstr>
      <vt:lpstr>'(7)F1 RV'!Zona_de_imprimat</vt:lpstr>
      <vt:lpstr>'(8)F1 Del'!Zona_de_imprimat</vt:lpstr>
      <vt:lpstr>'(9)F1 Iac'!Zona_de_imprimat</vt:lpstr>
      <vt:lpstr>DG!Zona_de_imprimat</vt:lpstr>
      <vt:lpstr>'DG (2)'!Zona_de_imprimat</vt:lpstr>
      <vt:lpstr>'DG Bel'!Zona_de_imprimat</vt:lpstr>
      <vt:lpstr>'DG Del'!Zona_de_imprimat</vt:lpstr>
      <vt:lpstr>'DG Iac'!Zona_de_imprimat</vt:lpstr>
      <vt:lpstr>'DG IMR'!Zona_de_imprimat</vt:lpstr>
      <vt:lpstr>'DG Mir'!Zona_de_imprimat</vt:lpstr>
      <vt:lpstr>'DG PAL'!Zona_de_imprimat</vt:lpstr>
      <vt:lpstr>'DG PNG'!Zona_de_imprimat</vt:lpstr>
      <vt:lpstr>'DG Rad'!Zona_de_imprimat</vt:lpstr>
      <vt:lpstr>'DG RV'!Zona_de_imprimat</vt:lpstr>
      <vt:lpstr>'DG Tab'!Zona_de_imprimat</vt:lpstr>
      <vt:lpstr>'DG Tar'!Zona_de_imprimat</vt:lpstr>
      <vt:lpstr>'DG Trif'!Zona_de_imprimat</vt:lpstr>
    </vt:vector>
  </TitlesOfParts>
  <Manager/>
  <Company>EON-IT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BARBU, RAZVAN COSTEL</dc:creator>
  <cp:keywords/>
  <dc:description/>
  <cp:lastModifiedBy>Darie, Niculina</cp:lastModifiedBy>
  <cp:revision/>
  <cp:lastPrinted>2023-09-28T08:03:07Z</cp:lastPrinted>
  <dcterms:created xsi:type="dcterms:W3CDTF">2017-06-29T11:23:25Z</dcterms:created>
  <dcterms:modified xsi:type="dcterms:W3CDTF">2026-03-27T13:36:55Z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0x010100B953059ABEFD8540A860D264B1B0B605</vt:lpwstr>
  </property>
</Properties>
</file>